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xl/charts/chart1.xml" ContentType="application/vnd.openxmlformats-officedocument.drawingml.chart+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530"/>
  <workbookPr showInkAnnotation="0"/>
  <mc:AlternateContent xmlns:mc="http://schemas.openxmlformats.org/markup-compatibility/2006">
    <mc:Choice Requires="x15">
      <x15ac:absPath xmlns:x15ac="http://schemas.microsoft.com/office/spreadsheetml/2010/11/ac" url="https://esuservices-my.sharepoint.com/personal/jungbluth_esuservices_onmicrosoft_com/Documents/ESU-intern/208 naturemade/KWM/"/>
    </mc:Choice>
  </mc:AlternateContent>
  <xr:revisionPtr revIDLastSave="9" documentId="8_{E7192D2B-16B6-481C-AB28-62F629D39DBE}" xr6:coauthVersionLast="46" xr6:coauthVersionMax="46" xr10:uidLastSave="{9E28305C-7621-47A0-AACD-548AAC2A6036}"/>
  <workbookProtection workbookAlgorithmName="SHA-512" workbookHashValue="PHkoTzPJnpgSaiYP9Rm1XVwEP5aW3rbHqGqKAxhX5uw1tD4Z9ZuqOtymb+x1qMD0msYFQxE6JrcsNI2jp1GE+w==" workbookSaltValue="aJDBy/dyibqrIauPH18lbA==" workbookSpinCount="100000" lockStructure="1"/>
  <bookViews>
    <workbookView xWindow="380" yWindow="380" windowWidth="23570" windowHeight="13721" xr2:uid="{00000000-000D-0000-FFFF-FFFF00000000}"/>
  </bookViews>
  <sheets>
    <sheet name="Info" sheetId="1" r:id="rId1"/>
    <sheet name="Prüfung" sheetId="2" r:id="rId2"/>
    <sheet name="Umweltdeklaration" sheetId="3" r:id="rId3"/>
    <sheet name="LRV" sheetId="4" r:id="rId4"/>
    <sheet name="menues" sheetId="5" state="hidden" r:id="rId5"/>
    <sheet name="LCIA" sheetId="6" state="hidden" r:id="rId6"/>
    <sheet name="Prüfwert" sheetId="7" state="hidden" r:id="rId7"/>
  </sheets>
  <definedNames>
    <definedName name="_xlnm._FilterDatabase" hidden="1">#REF!</definedName>
    <definedName name="altholzverbrennung">Prüfung!$J$12</definedName>
    <definedName name="Anlagengrösse">Prüfung!$J$20</definedName>
    <definedName name="Anlagentyp">Prüfung!$J$5</definedName>
    <definedName name="Auswahl_Behandlung_fest">Prüfung!$J$41</definedName>
    <definedName name="_xlnm.Print_Area" localSheetId="1">Prüfung!$A$2:$K$44</definedName>
    <definedName name="_xlnm.Print_Area" localSheetId="2">Umweltdeklaration!$B$2:$L$23</definedName>
    <definedName name="Gärgut_fest">Prüfung!$J$40</definedName>
    <definedName name="GlobalesKriterium">Prüfung!$I$43</definedName>
    <definedName name="kWhHolz_tAtro">LCIA!$Y$17</definedName>
    <definedName name="name">Prüfung!$C$4</definedName>
    <definedName name="Nm3_Abgas">LCIA!$X$5</definedName>
    <definedName name="Nm3_kgAtro">LCIA!$Y$15</definedName>
    <definedName name="relFeuchte">Prüfung!$D$7</definedName>
    <definedName name="sprache">Prüfung!$J$3</definedName>
    <definedName name="StromMax">LRV!$I$18</definedName>
    <definedName name="tkm_outputs">Prüfung!$F$40</definedName>
    <definedName name="WärmeMax">LRV!$J$14</definedName>
    <definedName name="WärmeMin">LRV!$J$18</definedName>
    <definedName name="Z_1C01E541_8A67_43B5_A788_EC28DF3B36AA_.wvu.Cols" localSheetId="4" hidden="1">menues!$C:$D</definedName>
    <definedName name="Z_1C01E541_8A67_43B5_A788_EC28DF3B36AA_.wvu.Cols" localSheetId="1" hidden="1">Prüfung!$A:$A,Prüfung!$J:$J</definedName>
    <definedName name="Z_1C01E541_8A67_43B5_A788_EC28DF3B36AA_.wvu.Cols" localSheetId="2" hidden="1">Umweltdeklaration!$A:$A</definedName>
    <definedName name="Z_1C01E541_8A67_43B5_A788_EC28DF3B36AA_.wvu.PrintArea" localSheetId="1" hidden="1">Prüfung!$A$2:$K$44</definedName>
    <definedName name="Z_1C01E541_8A67_43B5_A788_EC28DF3B36AA_.wvu.PrintArea" localSheetId="2" hidden="1">Umweltdeklaration!$B$2:$L$23</definedName>
    <definedName name="Z_1C01E541_8A67_43B5_A788_EC28DF3B36AA_.wvu.Rows" localSheetId="5" hidden="1">LCIA!$21:$65,LCIA!$74:$117,LCIA!$174:$217</definedName>
    <definedName name="Z_1C01E541_8A67_43B5_A788_EC28DF3B36AA_.wvu.Rows" localSheetId="1" hidden="1">Prüfung!$1:$1</definedName>
    <definedName name="Z_1C01E541_8A67_43B5_A788_EC28DF3B36AA_.wvu.Rows" localSheetId="6" hidden="1">Prüfwert!$56:$78</definedName>
    <definedName name="Z_1C01E541_8A67_43B5_A788_EC28DF3B36AA_.wvu.Rows" localSheetId="2" hidden="1">Umweltdeklaration!$1:$1,Umweltdeklaration!$16:$21</definedName>
    <definedName name="Z_5C939B6A_1013_45AD_A8DF_BB176A346893_.wvu.Cols" localSheetId="4" hidden="1">menues!$C:$D</definedName>
    <definedName name="Z_5C939B6A_1013_45AD_A8DF_BB176A346893_.wvu.Cols" localSheetId="1" hidden="1">Prüfung!$A:$A,Prüfung!$J:$J</definedName>
    <definedName name="Z_5C939B6A_1013_45AD_A8DF_BB176A346893_.wvu.Cols" localSheetId="2" hidden="1">Umweltdeklaration!$A:$A</definedName>
    <definedName name="Z_5C939B6A_1013_45AD_A8DF_BB176A346893_.wvu.PrintArea" localSheetId="1" hidden="1">Prüfung!$A$2:$K$44</definedName>
    <definedName name="Z_5C939B6A_1013_45AD_A8DF_BB176A346893_.wvu.PrintArea" localSheetId="2" hidden="1">Umweltdeklaration!$B$2:$L$23</definedName>
    <definedName name="Z_5C939B6A_1013_45AD_A8DF_BB176A346893_.wvu.Rows" localSheetId="5" hidden="1">LCIA!$21:$65,LCIA!$74:$117,LCIA!$174:$217</definedName>
    <definedName name="Z_5C939B6A_1013_45AD_A8DF_BB176A346893_.wvu.Rows" localSheetId="1" hidden="1">Prüfung!$1:$1</definedName>
    <definedName name="Z_5C939B6A_1013_45AD_A8DF_BB176A346893_.wvu.Rows" localSheetId="6" hidden="1">Prüfwert!$56:$78</definedName>
    <definedName name="Z_5C939B6A_1013_45AD_A8DF_BB176A346893_.wvu.Rows" localSheetId="2" hidden="1">Umweltdeklaration!$1:$1</definedName>
    <definedName name="Z_C9BFB6AD_5045_4B3F_B9E0_6BAC6F14C397_.wvu.Cols" localSheetId="4" hidden="1">menues!$C:$D</definedName>
    <definedName name="Z_C9BFB6AD_5045_4B3F_B9E0_6BAC6F14C397_.wvu.Cols" localSheetId="1" hidden="1">Prüfung!$A:$A,Prüfung!$J:$J</definedName>
    <definedName name="Z_C9BFB6AD_5045_4B3F_B9E0_6BAC6F14C397_.wvu.Cols" localSheetId="2" hidden="1">Umweltdeklaration!$A:$A</definedName>
    <definedName name="Z_C9BFB6AD_5045_4B3F_B9E0_6BAC6F14C397_.wvu.PrintArea" localSheetId="1" hidden="1">Prüfung!$A$2:$K$44</definedName>
    <definedName name="Z_C9BFB6AD_5045_4B3F_B9E0_6BAC6F14C397_.wvu.PrintArea" localSheetId="2" hidden="1">Umweltdeklaration!$B$2:$L$23</definedName>
    <definedName name="Z_C9BFB6AD_5045_4B3F_B9E0_6BAC6F14C397_.wvu.Rows" localSheetId="5" hidden="1">LCIA!$21:$65,LCIA!$74:$117,LCIA!$174:$217</definedName>
    <definedName name="Z_C9BFB6AD_5045_4B3F_B9E0_6BAC6F14C397_.wvu.Rows" localSheetId="1" hidden="1">Prüfung!$1:$1</definedName>
    <definedName name="Z_C9BFB6AD_5045_4B3F_B9E0_6BAC6F14C397_.wvu.Rows" localSheetId="6" hidden="1">Prüfwert!$56:$78</definedName>
    <definedName name="Z_C9BFB6AD_5045_4B3F_B9E0_6BAC6F14C397_.wvu.Rows" localSheetId="2" hidden="1">Umweltdeklaration!$1:$1,Umweltdeklaration!$16:$21</definedName>
    <definedName name="Z_CE963BD0_B8F9_4FC5_815A_8B7C4F9130DA_.wvu.Cols" localSheetId="4" hidden="1">menues!$C:$D</definedName>
    <definedName name="Z_CE963BD0_B8F9_4FC5_815A_8B7C4F9130DA_.wvu.Cols" localSheetId="1" hidden="1">Prüfung!$A:$A,Prüfung!$J:$J</definedName>
    <definedName name="Z_CE963BD0_B8F9_4FC5_815A_8B7C4F9130DA_.wvu.Cols" localSheetId="2" hidden="1">Umweltdeklaration!$A:$A</definedName>
    <definedName name="Z_CE963BD0_B8F9_4FC5_815A_8B7C4F9130DA_.wvu.PrintArea" localSheetId="1" hidden="1">Prüfung!$A$2:$K$44</definedName>
    <definedName name="Z_CE963BD0_B8F9_4FC5_815A_8B7C4F9130DA_.wvu.PrintArea" localSheetId="2" hidden="1">Umweltdeklaration!$B$2:$L$23</definedName>
    <definedName name="Z_CE963BD0_B8F9_4FC5_815A_8B7C4F9130DA_.wvu.Rows" localSheetId="5" hidden="1">LCIA!$21:$65,LCIA!$74:$117,LCIA!$174:$217</definedName>
    <definedName name="Z_CE963BD0_B8F9_4FC5_815A_8B7C4F9130DA_.wvu.Rows" localSheetId="1" hidden="1">Prüfung!$1:$1</definedName>
    <definedName name="Z_CE963BD0_B8F9_4FC5_815A_8B7C4F9130DA_.wvu.Rows" localSheetId="6" hidden="1">Prüfwert!$56:$78</definedName>
    <definedName name="Z_CE963BD0_B8F9_4FC5_815A_8B7C4F9130DA_.wvu.Rows" localSheetId="2" hidden="1">Umweltdeklaration!$1:$1,Umweltdeklaration!$16:$21</definedName>
    <definedName name="Z_F7C43961_1B7B_48BF_9520_12F3ACF9DC41_.wvu.Cols" localSheetId="4" hidden="1">menues!$C:$D</definedName>
    <definedName name="Z_F7C43961_1B7B_48BF_9520_12F3ACF9DC41_.wvu.Cols" localSheetId="1" hidden="1">Prüfung!$A:$A,Prüfung!$J:$J</definedName>
    <definedName name="Z_F7C43961_1B7B_48BF_9520_12F3ACF9DC41_.wvu.Cols" localSheetId="2" hidden="1">Umweltdeklaration!$A:$A</definedName>
    <definedName name="Z_F7C43961_1B7B_48BF_9520_12F3ACF9DC41_.wvu.PrintArea" localSheetId="1" hidden="1">Prüfung!$A$2:$K$44</definedName>
    <definedName name="Z_F7C43961_1B7B_48BF_9520_12F3ACF9DC41_.wvu.PrintArea" localSheetId="2" hidden="1">Umweltdeklaration!$B$2:$L$23</definedName>
    <definedName name="Z_F7C43961_1B7B_48BF_9520_12F3ACF9DC41_.wvu.Rows" localSheetId="5" hidden="1">LCIA!$21:$65,LCIA!$74:$117,LCIA!$174:$217</definedName>
    <definedName name="Z_F7C43961_1B7B_48BF_9520_12F3ACF9DC41_.wvu.Rows" localSheetId="1" hidden="1">Prüfung!$1:$1</definedName>
    <definedName name="Z_F7C43961_1B7B_48BF_9520_12F3ACF9DC41_.wvu.Rows" localSheetId="6" hidden="1">Prüfwert!$56:$78</definedName>
    <definedName name="Z_F7C43961_1B7B_48BF_9520_12F3ACF9DC41_.wvu.Rows" localSheetId="2" hidden="1">Umweltdeklaration!$1:$1,Umweltdeklaration!$16:$21</definedName>
  </definedNames>
  <calcPr calcId="191029"/>
  <customWorkbookViews>
    <customWorkbookView name="Niels Jungbluth - Persönliche Ansicht" guid="{5C939B6A-1013-45AD-A8DF-BB176A346893}" mergeInterval="0" personalView="1" maximized="1" xWindow="-8" yWindow="-8" windowWidth="1696" windowHeight="1026" activeSheetId="3"/>
    <customWorkbookView name="Birrer Patrick - Persönliche Ansicht" guid="{1C01E541-8A67-43B5-A788-EC28DF3B36AA}" mergeInterval="0" personalView="1" maximized="1" windowWidth="1920" windowHeight="835" activeSheetId="2"/>
    <customWorkbookView name="Daniel - Persönliche Ansicht" guid="{C9BFB6AD-5045-4B3F-B9E0-6BAC6F14C397}" mergeInterval="0" personalView="1" maximized="1" windowWidth="952" windowHeight="979" activeSheetId="1"/>
    <customWorkbookView name=".. - Persönliche Ansicht" guid="{F7C43961-1B7B-48BF-9520-12F3ACF9DC41}" mergeInterval="0" personalView="1" maximized="1" windowWidth="1916" windowHeight="1073" activeSheetId="2" showComments="commNone"/>
    <customWorkbookView name="Valentin Graf - Persönliche Ansicht" guid="{CE963BD0-B8F9-4FC5-815A-8B7C4F9130DA}" mergeInterval="0" personalView="1" maximized="1" windowWidth="1916" windowHeight="895"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18" i="4" l="1"/>
  <c r="M18" i="4"/>
  <c r="N17" i="4"/>
  <c r="M17" i="4"/>
  <c r="N16" i="4"/>
  <c r="M16" i="4"/>
  <c r="N15" i="4"/>
  <c r="M15" i="4"/>
  <c r="N14" i="4"/>
  <c r="M14" i="4"/>
  <c r="L22" i="4" l="1"/>
  <c r="L21" i="4"/>
  <c r="L15" i="4"/>
  <c r="L16" i="4"/>
  <c r="L17" i="4"/>
  <c r="L18" i="4"/>
  <c r="L14" i="4"/>
  <c r="J22" i="4"/>
  <c r="K22" i="4" s="1"/>
  <c r="J21" i="4"/>
  <c r="K21" i="4" s="1"/>
  <c r="J16" i="4"/>
  <c r="K16" i="4" s="1"/>
  <c r="J17" i="4"/>
  <c r="K17" i="4" s="1"/>
  <c r="J15" i="4"/>
  <c r="K15" i="4" s="1"/>
  <c r="K18" i="4"/>
  <c r="K14" i="4"/>
  <c r="C37" i="2" l="1"/>
  <c r="D3" i="3" l="1"/>
  <c r="D16" i="3"/>
  <c r="D17" i="3"/>
  <c r="D18" i="3"/>
  <c r="D19" i="3"/>
  <c r="D20" i="3"/>
  <c r="D21" i="3"/>
  <c r="E13" i="2" l="1"/>
  <c r="H5" i="6"/>
  <c r="H18" i="6" s="1"/>
  <c r="H6" i="2"/>
  <c r="G6" i="2"/>
  <c r="F40" i="2"/>
  <c r="P6" i="6" s="1"/>
  <c r="P9" i="6" s="1"/>
  <c r="P12" i="6" s="1"/>
  <c r="C3" i="6"/>
  <c r="C4" i="6"/>
  <c r="C15" i="6"/>
  <c r="D3" i="6"/>
  <c r="D4" i="6"/>
  <c r="D15" i="6"/>
  <c r="E3" i="6"/>
  <c r="E5" i="6" s="1"/>
  <c r="E4" i="6"/>
  <c r="E15" i="6"/>
  <c r="F3" i="6"/>
  <c r="F4" i="6"/>
  <c r="F15" i="6"/>
  <c r="G3" i="6"/>
  <c r="G4" i="6"/>
  <c r="G15" i="6"/>
  <c r="C12" i="2"/>
  <c r="O2" i="6"/>
  <c r="N2" i="6"/>
  <c r="C7" i="6"/>
  <c r="D7" i="6"/>
  <c r="E7" i="6"/>
  <c r="F7" i="6"/>
  <c r="G7" i="6"/>
  <c r="H7" i="6"/>
  <c r="C8" i="6"/>
  <c r="D8" i="6"/>
  <c r="E8" i="6"/>
  <c r="F8" i="6"/>
  <c r="G8" i="6"/>
  <c r="H8" i="6"/>
  <c r="D6" i="6"/>
  <c r="E6" i="6"/>
  <c r="F6" i="6"/>
  <c r="G6" i="6"/>
  <c r="H6" i="6"/>
  <c r="C6" i="6"/>
  <c r="C72" i="6"/>
  <c r="D72" i="6"/>
  <c r="E72" i="6"/>
  <c r="F72" i="6"/>
  <c r="G72" i="6"/>
  <c r="H72" i="6"/>
  <c r="I72" i="6"/>
  <c r="J72" i="6"/>
  <c r="K72" i="6"/>
  <c r="L72" i="6"/>
  <c r="M72" i="6"/>
  <c r="P72" i="6"/>
  <c r="Q72" i="6"/>
  <c r="R72" i="6"/>
  <c r="S72" i="6"/>
  <c r="T72" i="6"/>
  <c r="U72" i="6"/>
  <c r="V72" i="6"/>
  <c r="W72" i="6"/>
  <c r="X72" i="6"/>
  <c r="Y72" i="6"/>
  <c r="Z72" i="6"/>
  <c r="AA72" i="6"/>
  <c r="AB72" i="6"/>
  <c r="AC72" i="6"/>
  <c r="AD72" i="6"/>
  <c r="AE72" i="6"/>
  <c r="AF72" i="6"/>
  <c r="AG72" i="6"/>
  <c r="AH72" i="6"/>
  <c r="AI72" i="6"/>
  <c r="C51" i="7"/>
  <c r="D51" i="7"/>
  <c r="E51" i="7"/>
  <c r="F51" i="7"/>
  <c r="G51" i="7"/>
  <c r="H51" i="7"/>
  <c r="I51" i="7"/>
  <c r="J51" i="7"/>
  <c r="K51" i="7"/>
  <c r="L51" i="7"/>
  <c r="C52" i="7"/>
  <c r="D52" i="7"/>
  <c r="E52" i="7"/>
  <c r="F52" i="7"/>
  <c r="G52" i="7"/>
  <c r="H52" i="7"/>
  <c r="I52" i="7"/>
  <c r="J52" i="7"/>
  <c r="K52" i="7"/>
  <c r="L52" i="7"/>
  <c r="B2" i="2"/>
  <c r="A2" i="1" s="1"/>
  <c r="C2" i="6"/>
  <c r="D2" i="6"/>
  <c r="E2" i="6"/>
  <c r="F2" i="6"/>
  <c r="G2" i="6"/>
  <c r="H2" i="6"/>
  <c r="I2" i="6"/>
  <c r="J2" i="6"/>
  <c r="K2" i="6"/>
  <c r="L2" i="6"/>
  <c r="M2" i="6"/>
  <c r="P2" i="6"/>
  <c r="Q2" i="6"/>
  <c r="R2" i="6"/>
  <c r="S2" i="6"/>
  <c r="T2" i="6"/>
  <c r="U2" i="6"/>
  <c r="V2" i="6"/>
  <c r="W2" i="6"/>
  <c r="Y2" i="6"/>
  <c r="Z2" i="6"/>
  <c r="AA2" i="6"/>
  <c r="AB2" i="6"/>
  <c r="AC2" i="6"/>
  <c r="AD2" i="6"/>
  <c r="AE2" i="6"/>
  <c r="AF2" i="6"/>
  <c r="AG2" i="6"/>
  <c r="AH2" i="6"/>
  <c r="AI2" i="6"/>
  <c r="H3" i="6"/>
  <c r="H9" i="6" s="1"/>
  <c r="I3" i="6"/>
  <c r="I9" i="6" s="1"/>
  <c r="I11" i="6" s="1"/>
  <c r="J3" i="6"/>
  <c r="J9" i="6" s="1"/>
  <c r="J12" i="6" s="1"/>
  <c r="K3" i="6"/>
  <c r="K9" i="6" s="1"/>
  <c r="L3" i="6"/>
  <c r="L9" i="6" s="1"/>
  <c r="P3" i="6"/>
  <c r="Q3" i="6"/>
  <c r="Q9" i="6" s="1"/>
  <c r="Q12" i="6" s="1"/>
  <c r="R3" i="6"/>
  <c r="Y3" i="6"/>
  <c r="Z3" i="6"/>
  <c r="AA3" i="6"/>
  <c r="AB3" i="6"/>
  <c r="AC3" i="6"/>
  <c r="AD3" i="6"/>
  <c r="AD9" i="6" s="1"/>
  <c r="AE3" i="6"/>
  <c r="AF3" i="6"/>
  <c r="AG3" i="6"/>
  <c r="AH3" i="6"/>
  <c r="AI3" i="6"/>
  <c r="H4" i="6"/>
  <c r="I4" i="6"/>
  <c r="J4" i="6"/>
  <c r="K4" i="6"/>
  <c r="L4" i="6"/>
  <c r="P4" i="6"/>
  <c r="Q4" i="6"/>
  <c r="R4" i="6"/>
  <c r="Y17" i="6"/>
  <c r="Y4" i="6" s="1"/>
  <c r="AD4" i="6"/>
  <c r="AE4" i="6"/>
  <c r="AE9" i="6" s="1"/>
  <c r="AF4" i="6"/>
  <c r="AG4" i="6"/>
  <c r="AG9" i="6" s="1"/>
  <c r="AG11" i="6" s="1"/>
  <c r="AH4" i="6"/>
  <c r="AI4" i="6"/>
  <c r="I5" i="6"/>
  <c r="J5" i="6"/>
  <c r="K5" i="6"/>
  <c r="L5" i="6"/>
  <c r="P5" i="6"/>
  <c r="Q5" i="6"/>
  <c r="E29" i="2"/>
  <c r="R5" i="6" s="1"/>
  <c r="AE5" i="6"/>
  <c r="AF5" i="6"/>
  <c r="AG5" i="6"/>
  <c r="AH5" i="6"/>
  <c r="AI5" i="6"/>
  <c r="I6" i="6"/>
  <c r="J6" i="6"/>
  <c r="K6" i="6"/>
  <c r="L6" i="6"/>
  <c r="Q6" i="6"/>
  <c r="R6" i="6"/>
  <c r="AD6" i="6"/>
  <c r="AE6" i="6"/>
  <c r="AF6" i="6"/>
  <c r="AG6" i="6"/>
  <c r="AH6" i="6"/>
  <c r="AI6" i="6"/>
  <c r="R9" i="6"/>
  <c r="R12" i="6" s="1"/>
  <c r="S9" i="6"/>
  <c r="S13" i="6" s="1"/>
  <c r="U9" i="6"/>
  <c r="U12" i="6" s="1"/>
  <c r="V9" i="6"/>
  <c r="V13" i="6" s="1"/>
  <c r="J12" i="2"/>
  <c r="I23" i="2" s="1"/>
  <c r="AF9" i="6"/>
  <c r="AF12" i="6" s="1"/>
  <c r="AH9" i="6"/>
  <c r="AH12" i="6" s="1"/>
  <c r="AI9" i="6"/>
  <c r="AI13" i="6" s="1"/>
  <c r="A11" i="6"/>
  <c r="A12" i="6"/>
  <c r="A13" i="6"/>
  <c r="F57" i="5"/>
  <c r="F58" i="5"/>
  <c r="F59" i="5"/>
  <c r="F60" i="5"/>
  <c r="F61" i="5"/>
  <c r="F62" i="5"/>
  <c r="F65" i="5"/>
  <c r="F66" i="5"/>
  <c r="F67" i="5"/>
  <c r="F68" i="5"/>
  <c r="F69" i="5"/>
  <c r="F71" i="5"/>
  <c r="F72" i="5"/>
  <c r="F73" i="5"/>
  <c r="F94" i="5"/>
  <c r="F95" i="5"/>
  <c r="F96" i="5"/>
  <c r="F97" i="5"/>
  <c r="F98" i="5"/>
  <c r="B3" i="2"/>
  <c r="B4" i="2"/>
  <c r="B5" i="2"/>
  <c r="I5" i="2"/>
  <c r="B6" i="2"/>
  <c r="C6" i="2"/>
  <c r="D6" i="2"/>
  <c r="F6" i="2"/>
  <c r="B7" i="2"/>
  <c r="B8" i="2"/>
  <c r="N8" i="2"/>
  <c r="B11" i="3"/>
  <c r="O8" i="2" s="1"/>
  <c r="B9" i="2"/>
  <c r="B4" i="3"/>
  <c r="M9" i="2" s="1"/>
  <c r="B10" i="2"/>
  <c r="B5" i="3"/>
  <c r="M10" i="2" s="1"/>
  <c r="B11" i="2"/>
  <c r="B12" i="2"/>
  <c r="B6" i="3"/>
  <c r="M12" i="2" s="1"/>
  <c r="B13" i="2"/>
  <c r="B14" i="2"/>
  <c r="B7" i="3"/>
  <c r="M14" i="2" s="1"/>
  <c r="B15" i="2"/>
  <c r="C15" i="2"/>
  <c r="B8" i="3"/>
  <c r="M15" i="2" s="1"/>
  <c r="B16" i="2"/>
  <c r="I16" i="2"/>
  <c r="B13" i="3"/>
  <c r="M16" i="2" s="1"/>
  <c r="B17" i="2"/>
  <c r="B14" i="3"/>
  <c r="M17" i="2" s="1"/>
  <c r="B18" i="2"/>
  <c r="B15" i="3"/>
  <c r="M18" i="2" s="1"/>
  <c r="C4" i="7"/>
  <c r="C8" i="7" s="1"/>
  <c r="B19" i="2"/>
  <c r="B20" i="2"/>
  <c r="I20" i="2"/>
  <c r="B21" i="2"/>
  <c r="E21" i="2"/>
  <c r="I21" i="2" s="1"/>
  <c r="B22" i="2"/>
  <c r="E22" i="2"/>
  <c r="I22" i="2" s="1"/>
  <c r="B23" i="2"/>
  <c r="B25" i="2"/>
  <c r="B26" i="2"/>
  <c r="B27" i="2"/>
  <c r="B28" i="2"/>
  <c r="B29" i="2"/>
  <c r="I29" i="2"/>
  <c r="B30" i="2"/>
  <c r="C30" i="2"/>
  <c r="C31" i="2" s="1"/>
  <c r="I31" i="2" s="1"/>
  <c r="B31" i="2"/>
  <c r="B32" i="2"/>
  <c r="B33" i="2"/>
  <c r="B34" i="2"/>
  <c r="B35" i="2"/>
  <c r="I35" i="2"/>
  <c r="B36" i="2"/>
  <c r="B37" i="2"/>
  <c r="B38" i="2"/>
  <c r="B39" i="2"/>
  <c r="J39" i="2"/>
  <c r="B40" i="2"/>
  <c r="B41" i="2"/>
  <c r="B42" i="2"/>
  <c r="C42" i="2"/>
  <c r="B43" i="2"/>
  <c r="C2" i="7"/>
  <c r="D2" i="7"/>
  <c r="E2" i="7"/>
  <c r="F2" i="7"/>
  <c r="G2" i="7"/>
  <c r="J2" i="7"/>
  <c r="K2" i="7"/>
  <c r="L2" i="7"/>
  <c r="N2" i="7"/>
  <c r="O2" i="7"/>
  <c r="D5" i="7"/>
  <c r="E5" i="7"/>
  <c r="D7" i="7"/>
  <c r="E7" i="7"/>
  <c r="F10" i="7"/>
  <c r="B2" i="3"/>
  <c r="H2" i="3"/>
  <c r="D2" i="3" s="1"/>
  <c r="I2" i="3"/>
  <c r="J2" i="3"/>
  <c r="K2" i="3"/>
  <c r="B9" i="3"/>
  <c r="C11" i="3" s="1"/>
  <c r="G11" i="3"/>
  <c r="K11" i="3"/>
  <c r="H12" i="3"/>
  <c r="I12" i="3"/>
  <c r="J12" i="3"/>
  <c r="K12" i="3"/>
  <c r="B16" i="3"/>
  <c r="C16" i="3"/>
  <c r="B17" i="3"/>
  <c r="C17" i="3"/>
  <c r="B18" i="3"/>
  <c r="C18" i="3"/>
  <c r="B19" i="3"/>
  <c r="C19" i="3"/>
  <c r="B20" i="3"/>
  <c r="C20" i="3"/>
  <c r="B21" i="3"/>
  <c r="B22" i="3"/>
  <c r="B15" i="1" l="1" a="1"/>
  <c r="B15" i="1" s="1"/>
  <c r="I25" i="2"/>
  <c r="E25" i="2"/>
  <c r="G14" i="3"/>
  <c r="AC4" i="6"/>
  <c r="AB4" i="6"/>
  <c r="AA4" i="6"/>
  <c r="Z4" i="6"/>
  <c r="M11" i="2"/>
  <c r="G15" i="3"/>
  <c r="D42" i="2"/>
  <c r="D4" i="7"/>
  <c r="D8" i="7" s="1"/>
  <c r="C14" i="3" s="1"/>
  <c r="C38" i="2"/>
  <c r="I34" i="2"/>
  <c r="E23" i="2"/>
  <c r="I24" i="2"/>
  <c r="E24" i="2"/>
  <c r="B24" i="2"/>
  <c r="F9" i="6"/>
  <c r="F11" i="6" s="1"/>
  <c r="I13" i="6"/>
  <c r="D9" i="6"/>
  <c r="D12" i="6" s="1"/>
  <c r="G13" i="3"/>
  <c r="E4" i="7"/>
  <c r="E8" i="7" s="1"/>
  <c r="C13" i="3" s="1"/>
  <c r="U13" i="6"/>
  <c r="I12" i="6"/>
  <c r="R13" i="6"/>
  <c r="R10" i="6"/>
  <c r="J13" i="6"/>
  <c r="AH13" i="6"/>
  <c r="AH11" i="6"/>
  <c r="L13" i="6"/>
  <c r="L10" i="6"/>
  <c r="G9" i="6"/>
  <c r="G12" i="6" s="1"/>
  <c r="AG13" i="6"/>
  <c r="S12" i="6"/>
  <c r="AI10" i="6"/>
  <c r="S11" i="6"/>
  <c r="AH10" i="6"/>
  <c r="AG12" i="6"/>
  <c r="H13" i="6"/>
  <c r="H10" i="6"/>
  <c r="H11" i="6"/>
  <c r="H12" i="6"/>
  <c r="C15" i="3"/>
  <c r="C10" i="7"/>
  <c r="D15" i="3" s="1"/>
  <c r="E9" i="6"/>
  <c r="E10" i="6" s="1"/>
  <c r="R11" i="6"/>
  <c r="AG10" i="6"/>
  <c r="AI12" i="6"/>
  <c r="C9" i="6"/>
  <c r="C12" i="6" s="1"/>
  <c r="S10" i="6"/>
  <c r="AI11" i="6"/>
  <c r="K13" i="6"/>
  <c r="K12" i="6"/>
  <c r="K11" i="6"/>
  <c r="K10" i="6"/>
  <c r="AE10" i="6"/>
  <c r="AE13" i="6"/>
  <c r="AE12" i="6"/>
  <c r="AE11" i="6"/>
  <c r="AD13" i="6"/>
  <c r="AD12" i="6"/>
  <c r="AD11" i="6"/>
  <c r="AD10" i="6"/>
  <c r="Q10" i="6"/>
  <c r="Q11" i="6"/>
  <c r="AF10" i="6"/>
  <c r="P10" i="6"/>
  <c r="P11" i="6"/>
  <c r="Q13" i="6"/>
  <c r="V10" i="6"/>
  <c r="AF13" i="6"/>
  <c r="P13" i="6"/>
  <c r="L12" i="6"/>
  <c r="V11" i="6"/>
  <c r="U10" i="6"/>
  <c r="J10" i="6"/>
  <c r="AF11" i="6"/>
  <c r="L11" i="6"/>
  <c r="V12" i="6"/>
  <c r="U11" i="6"/>
  <c r="J11" i="6"/>
  <c r="I10" i="6"/>
  <c r="B19" i="1" l="1"/>
  <c r="B18" i="1"/>
  <c r="B16" i="1"/>
  <c r="B17" i="1"/>
  <c r="D10" i="7"/>
  <c r="F12" i="6"/>
  <c r="F10" i="6"/>
  <c r="F13" i="6"/>
  <c r="D10" i="6"/>
  <c r="F17" i="6"/>
  <c r="F18" i="6" s="1"/>
  <c r="F5" i="6" s="1"/>
  <c r="D11" i="6"/>
  <c r="D17" i="6"/>
  <c r="D18" i="6" s="1"/>
  <c r="E10" i="7"/>
  <c r="D13" i="3" s="1"/>
  <c r="D13" i="6"/>
  <c r="J5" i="3"/>
  <c r="C11" i="6"/>
  <c r="I5" i="3"/>
  <c r="G11" i="6"/>
  <c r="K5" i="3"/>
  <c r="G13" i="6"/>
  <c r="J8" i="3"/>
  <c r="G17" i="6"/>
  <c r="G18" i="6" s="1"/>
  <c r="G10" i="6"/>
  <c r="E13" i="6"/>
  <c r="E12" i="6"/>
  <c r="E11" i="6"/>
  <c r="E17" i="6"/>
  <c r="E18" i="6" s="1"/>
  <c r="E19" i="6" s="1"/>
  <c r="C13" i="6"/>
  <c r="C10" i="6"/>
  <c r="C17" i="6"/>
  <c r="O18" i="2"/>
  <c r="H8" i="3"/>
  <c r="H5" i="3"/>
  <c r="K8" i="3"/>
  <c r="I8" i="3"/>
  <c r="D14" i="3" l="1"/>
  <c r="D22" i="3" s="1"/>
  <c r="E13" i="3" s="1"/>
  <c r="D5" i="6"/>
  <c r="D19" i="6" s="1"/>
  <c r="F19" i="6"/>
  <c r="J4" i="3"/>
  <c r="O16" i="2"/>
  <c r="B10" i="7"/>
  <c r="I4" i="3"/>
  <c r="H4" i="3"/>
  <c r="N9" i="2" s="1"/>
  <c r="G5" i="6"/>
  <c r="G19" i="6" s="1"/>
  <c r="K4" i="3"/>
  <c r="E7" i="2" a="1"/>
  <c r="C18" i="6"/>
  <c r="C5" i="6" s="1"/>
  <c r="N11" i="2"/>
  <c r="N10" i="2"/>
  <c r="N15" i="2"/>
  <c r="O17" i="2" l="1"/>
  <c r="O19" i="2" s="1"/>
  <c r="E15" i="3"/>
  <c r="E20" i="3"/>
  <c r="E22" i="3"/>
  <c r="E19" i="3"/>
  <c r="E21" i="3"/>
  <c r="D43" i="2"/>
  <c r="E14" i="3"/>
  <c r="E17" i="3"/>
  <c r="E18" i="3"/>
  <c r="E16" i="3"/>
  <c r="E10" i="2"/>
  <c r="E9" i="2"/>
  <c r="E7" i="2"/>
  <c r="E8" i="2"/>
  <c r="E11" i="2"/>
  <c r="N6" i="6"/>
  <c r="O6" i="6"/>
  <c r="M6" i="6"/>
  <c r="C19" i="6"/>
  <c r="C14" i="2" l="1"/>
  <c r="F14" i="2"/>
  <c r="M9" i="6"/>
  <c r="H14" i="2"/>
  <c r="O9" i="6"/>
  <c r="G14" i="2"/>
  <c r="N9" i="6"/>
  <c r="E12" i="2"/>
  <c r="W3" i="6"/>
  <c r="W9" i="6" s="1"/>
  <c r="M3" i="6" l="1"/>
  <c r="E35" i="2"/>
  <c r="AD5" i="6" s="1"/>
  <c r="D14" i="2"/>
  <c r="T4" i="6" s="1"/>
  <c r="T3" i="6"/>
  <c r="T9" i="6" s="1"/>
  <c r="T10" i="6" s="1"/>
  <c r="S3" i="6"/>
  <c r="O3" i="6"/>
  <c r="V3" i="6"/>
  <c r="X5" i="6" s="1"/>
  <c r="AC6" i="6" s="1"/>
  <c r="AC9" i="6" s="1"/>
  <c r="E37" i="2"/>
  <c r="I39" i="2" s="1"/>
  <c r="I14" i="2"/>
  <c r="N3" i="6"/>
  <c r="E14" i="2"/>
  <c r="M5" i="6" s="1"/>
  <c r="I36" i="2"/>
  <c r="E34" i="2"/>
  <c r="U3" i="6"/>
  <c r="C39" i="2"/>
  <c r="I38" i="2" s="1"/>
  <c r="E6" i="7"/>
  <c r="W13" i="6"/>
  <c r="W12" i="6"/>
  <c r="W11" i="6"/>
  <c r="W10" i="6"/>
  <c r="X9" i="6"/>
  <c r="N11" i="6"/>
  <c r="N10" i="6"/>
  <c r="N12" i="6"/>
  <c r="N13" i="6"/>
  <c r="U4" i="6"/>
  <c r="M4" i="6"/>
  <c r="N4" i="6"/>
  <c r="O13" i="6"/>
  <c r="O11" i="6"/>
  <c r="O12" i="6"/>
  <c r="O10" i="6"/>
  <c r="M10" i="6"/>
  <c r="M11" i="6"/>
  <c r="M13" i="6"/>
  <c r="M12" i="6"/>
  <c r="W6" i="6"/>
  <c r="V6" i="6"/>
  <c r="T6" i="6"/>
  <c r="U6" i="6"/>
  <c r="S6" i="6"/>
  <c r="N5" i="6" l="1"/>
  <c r="O5" i="6"/>
  <c r="T5" i="6"/>
  <c r="AB6" i="6"/>
  <c r="AB9" i="6" s="1"/>
  <c r="AB10" i="6" s="1"/>
  <c r="AA6" i="6"/>
  <c r="AA9" i="6" s="1"/>
  <c r="AA12" i="6" s="1"/>
  <c r="T11" i="6"/>
  <c r="S4" i="6"/>
  <c r="S5" i="6"/>
  <c r="T13" i="6"/>
  <c r="W4" i="6"/>
  <c r="U5" i="6"/>
  <c r="T12" i="6"/>
  <c r="Z6" i="6"/>
  <c r="Z9" i="6" s="1"/>
  <c r="Z13" i="6" s="1"/>
  <c r="E20" i="2"/>
  <c r="V4" i="6"/>
  <c r="W5" i="6"/>
  <c r="D6" i="7"/>
  <c r="Y6" i="6"/>
  <c r="Y9" i="6" s="1"/>
  <c r="Y12" i="6" s="1"/>
  <c r="O4" i="6"/>
  <c r="V5" i="6"/>
  <c r="K6" i="3"/>
  <c r="I6" i="3"/>
  <c r="X11" i="6"/>
  <c r="X13" i="6"/>
  <c r="X12" i="6"/>
  <c r="X10" i="6"/>
  <c r="H6" i="3"/>
  <c r="AC10" i="6"/>
  <c r="AC11" i="6"/>
  <c r="AC12" i="6"/>
  <c r="AC13" i="6"/>
  <c r="J6" i="3"/>
  <c r="AA10" i="6"/>
  <c r="AA11" i="6"/>
  <c r="AA13" i="6"/>
  <c r="AB12" i="6" l="1"/>
  <c r="AB11" i="6"/>
  <c r="AB13" i="6"/>
  <c r="Y13" i="6"/>
  <c r="K7" i="3" s="1"/>
  <c r="K9" i="3" s="1"/>
  <c r="K14" i="3" s="1"/>
  <c r="Y11" i="6"/>
  <c r="Z12" i="6"/>
  <c r="B12" i="6" s="1"/>
  <c r="Y10" i="6"/>
  <c r="H7" i="3" s="1"/>
  <c r="H9" i="3" s="1"/>
  <c r="Z11" i="6"/>
  <c r="Z10" i="6"/>
  <c r="N12" i="2"/>
  <c r="B13" i="6" l="1"/>
  <c r="X15" i="6"/>
  <c r="I7" i="3"/>
  <c r="I9" i="3" s="1"/>
  <c r="J7" i="3"/>
  <c r="J9" i="3" s="1"/>
  <c r="B11" i="6"/>
  <c r="B10" i="6"/>
  <c r="E5" i="3"/>
  <c r="H14" i="3"/>
  <c r="H15" i="3"/>
  <c r="E9" i="3"/>
  <c r="E6" i="3"/>
  <c r="C43" i="2"/>
  <c r="E4" i="3"/>
  <c r="H13" i="3"/>
  <c r="E8" i="3"/>
  <c r="J14" i="3"/>
  <c r="J15" i="3"/>
  <c r="J13" i="3"/>
  <c r="I13" i="3"/>
  <c r="I14" i="3"/>
  <c r="I15" i="3"/>
  <c r="E7" i="3"/>
  <c r="N14" i="2"/>
  <c r="N19" i="2" s="1"/>
  <c r="K13" i="3"/>
  <c r="K15" i="3"/>
  <c r="E43" i="2" l="1"/>
  <c r="I43" i="2" s="1"/>
  <c r="I44" i="2" s="1"/>
  <c r="B44"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Niels Jungbluth</author>
    <author>Valentin Graf</author>
  </authors>
  <commentList>
    <comment ref="I5" authorId="0" shapeId="0" xr:uid="{00000000-0006-0000-0100-000001000000}">
      <text>
        <r>
          <rPr>
            <b/>
            <sz val="9"/>
            <color indexed="81"/>
            <rFont val="Segoe UI"/>
            <family val="2"/>
          </rPr>
          <t>Niels Jungbluth:</t>
        </r>
        <r>
          <rPr>
            <sz val="9"/>
            <color indexed="81"/>
            <rFont val="Segoe UI"/>
            <family val="2"/>
          </rPr>
          <t xml:space="preserve">
Wenn Strom produziert wird ist der Anlagentyp nicht eine Heizung.</t>
        </r>
      </text>
    </comment>
    <comment ref="I14" authorId="0" shapeId="0" xr:uid="{00000000-0006-0000-0100-000002000000}">
      <text>
        <r>
          <rPr>
            <b/>
            <sz val="9"/>
            <color indexed="81"/>
            <rFont val="Segoe UI"/>
            <family val="2"/>
          </rPr>
          <t>Niels Jungbluth:</t>
        </r>
        <r>
          <rPr>
            <sz val="9"/>
            <color indexed="81"/>
            <rFont val="Segoe UI"/>
            <family val="2"/>
          </rPr>
          <t xml:space="preserve">
Eingabewert vorhanden?</t>
        </r>
      </text>
    </comment>
    <comment ref="I16" authorId="0" shapeId="0" xr:uid="{00000000-0006-0000-0100-000003000000}">
      <text>
        <r>
          <rPr>
            <b/>
            <sz val="9"/>
            <color indexed="81"/>
            <rFont val="Segoe UI"/>
            <family val="2"/>
          </rPr>
          <t>Niels Jungbluth:</t>
        </r>
        <r>
          <rPr>
            <sz val="9"/>
            <color indexed="81"/>
            <rFont val="Segoe UI"/>
            <family val="2"/>
          </rPr>
          <t xml:space="preserve">
Der Strombezug vom Netz istals Eigenverbrauch einzugeben und bei der zertifizierten Menge in Abzug zu bringen.</t>
        </r>
      </text>
    </comment>
    <comment ref="I20" authorId="0" shapeId="0" xr:uid="{00000000-0006-0000-0100-000004000000}">
      <text>
        <r>
          <rPr>
            <b/>
            <sz val="9"/>
            <color indexed="81"/>
            <rFont val="Segoe UI"/>
            <family val="2"/>
          </rPr>
          <t>Niels Jungbluth:</t>
        </r>
        <r>
          <rPr>
            <sz val="9"/>
            <color indexed="81"/>
            <rFont val="Segoe UI"/>
            <family val="2"/>
          </rPr>
          <t xml:space="preserve">
Anlagengrösse mehr als 70kW gemäss lokalem Kriterium notwendig.</t>
        </r>
      </text>
    </comment>
    <comment ref="I21" authorId="0" shapeId="0" xr:uid="{00000000-0006-0000-0100-000005000000}">
      <text>
        <r>
          <rPr>
            <b/>
            <sz val="9"/>
            <color indexed="81"/>
            <rFont val="Segoe UI"/>
            <family val="2"/>
          </rPr>
          <t>Niels Jungbluth:</t>
        </r>
        <r>
          <rPr>
            <sz val="9"/>
            <color indexed="81"/>
            <rFont val="Segoe UI"/>
            <family val="2"/>
          </rPr>
          <t xml:space="preserve">
Grenzwert LRV 
eingehalten? Wert eingegeben grösser als Null ?(Wert darf nicht null sein.</t>
        </r>
      </text>
    </comment>
    <comment ref="I22" authorId="0" shapeId="0" xr:uid="{00000000-0006-0000-0100-000006000000}">
      <text>
        <r>
          <rPr>
            <b/>
            <sz val="9"/>
            <color indexed="81"/>
            <rFont val="Segoe UI"/>
            <family val="2"/>
          </rPr>
          <t>Niels Jungbluth:</t>
        </r>
        <r>
          <rPr>
            <sz val="9"/>
            <color indexed="81"/>
            <rFont val="Segoe UI"/>
            <family val="2"/>
          </rPr>
          <t xml:space="preserve">
Grenzwert LRV 
eingehalten? Wert eingegeben grösser als Null ?(Wert darf nicht null sein.</t>
        </r>
      </text>
    </comment>
    <comment ref="I23" authorId="0" shapeId="0" xr:uid="{00000000-0006-0000-0100-000007000000}">
      <text>
        <r>
          <rPr>
            <b/>
            <sz val="9"/>
            <color indexed="81"/>
            <rFont val="Segoe UI"/>
            <family val="2"/>
          </rPr>
          <t>Niels Jungbluth:</t>
        </r>
        <r>
          <rPr>
            <sz val="9"/>
            <color indexed="81"/>
            <rFont val="Segoe UI"/>
            <family val="2"/>
          </rPr>
          <t xml:space="preserve">
Grenzwert LRV 
eingehalten? Wert eingegeben grösser als Null ?(Wert darf nicht null sein.</t>
        </r>
      </text>
    </comment>
    <comment ref="I24" authorId="0" shapeId="0" xr:uid="{00000000-0006-0000-0100-000008000000}">
      <text>
        <r>
          <rPr>
            <b/>
            <sz val="9"/>
            <color indexed="81"/>
            <rFont val="Segoe UI"/>
            <family val="2"/>
          </rPr>
          <t>Niels Jungbluth:</t>
        </r>
        <r>
          <rPr>
            <sz val="9"/>
            <color indexed="81"/>
            <rFont val="Segoe UI"/>
            <family val="2"/>
          </rPr>
          <t xml:space="preserve">
Grenzwert LRV 
eingehalten? Wert eingegeben grösser als Null ?(Wert darf nicht null sein.</t>
        </r>
      </text>
    </comment>
    <comment ref="I25" authorId="0" shapeId="0" xr:uid="{00000000-0006-0000-0100-000009000000}">
      <text>
        <r>
          <rPr>
            <b/>
            <sz val="9"/>
            <color indexed="81"/>
            <rFont val="Segoe UI"/>
            <family val="2"/>
          </rPr>
          <t>Niels Jungbluth:</t>
        </r>
        <r>
          <rPr>
            <sz val="9"/>
            <color indexed="81"/>
            <rFont val="Segoe UI"/>
            <family val="2"/>
          </rPr>
          <t xml:space="preserve">
Grenzwert LRV 
eingehalten? Wert eingegeben grösser als Null ?(Wert darf nicht null sein.</t>
        </r>
      </text>
    </comment>
    <comment ref="I29" authorId="0" shapeId="0" xr:uid="{00000000-0006-0000-0100-00000A000000}">
      <text>
        <r>
          <rPr>
            <b/>
            <sz val="9"/>
            <color indexed="81"/>
            <rFont val="Segoe UI"/>
            <family val="2"/>
          </rPr>
          <t>Niels Jungbluth:</t>
        </r>
        <r>
          <rPr>
            <sz val="9"/>
            <color indexed="81"/>
            <rFont val="Segoe UI"/>
            <family val="2"/>
          </rPr>
          <t xml:space="preserve">
Prüfung nur für Reprotec Anlage möglich. Bei anderen Anlagen bisher keine Methanisierung bilanziert.</t>
        </r>
      </text>
    </comment>
    <comment ref="I31" authorId="0" shapeId="0" xr:uid="{00000000-0006-0000-0100-00000B000000}">
      <text>
        <r>
          <rPr>
            <b/>
            <sz val="9"/>
            <color indexed="81"/>
            <rFont val="Segoe UI"/>
            <family val="2"/>
          </rPr>
          <t>Niels Jungbluth:</t>
        </r>
        <r>
          <rPr>
            <sz val="9"/>
            <color indexed="81"/>
            <rFont val="Segoe UI"/>
            <family val="2"/>
          </rPr>
          <t xml:space="preserve">
Nutzung Biogas kleiner als Produktion</t>
        </r>
      </text>
    </comment>
    <comment ref="E34" authorId="1" shapeId="0" xr:uid="{5E571044-1E76-4520-9405-5364668D25A9}">
      <text>
        <r>
          <rPr>
            <b/>
            <sz val="9"/>
            <color indexed="81"/>
            <rFont val="Segoe UI"/>
            <family val="2"/>
          </rPr>
          <t>Valentin Graf:</t>
        </r>
        <r>
          <rPr>
            <sz val="9"/>
            <color indexed="81"/>
            <rFont val="Segoe UI"/>
            <family val="2"/>
          </rPr>
          <t xml:space="preserve">
Elektrischer Wirkungsgrad
</t>
        </r>
      </text>
    </comment>
    <comment ref="I34" authorId="0" shapeId="0" xr:uid="{00000000-0006-0000-0100-00000C000000}">
      <text>
        <r>
          <rPr>
            <b/>
            <sz val="9"/>
            <color indexed="81"/>
            <rFont val="Segoe UI"/>
            <family val="2"/>
          </rPr>
          <t>Niels Jungbluth:</t>
        </r>
        <r>
          <rPr>
            <sz val="9"/>
            <color indexed="81"/>
            <rFont val="Segoe UI"/>
            <family val="2"/>
          </rPr>
          <t xml:space="preserve">
Nettoproduktion nicht grösser als Bruttoproduktion minus Eigenverbrauch?</t>
        </r>
      </text>
    </comment>
    <comment ref="E35" authorId="1" shapeId="0" xr:uid="{5B53BE64-3CB8-4EE3-A39E-96FC42CEED6A}">
      <text>
        <r>
          <rPr>
            <b/>
            <sz val="9"/>
            <color indexed="81"/>
            <rFont val="Segoe UI"/>
            <family val="2"/>
          </rPr>
          <t>Valentin Graf:</t>
        </r>
        <r>
          <rPr>
            <sz val="9"/>
            <color indexed="81"/>
            <rFont val="Segoe UI"/>
            <family val="2"/>
          </rPr>
          <t xml:space="preserve">
Wärmenutzungsgrad
</t>
        </r>
      </text>
    </comment>
    <comment ref="I35" authorId="0" shapeId="0" xr:uid="{00000000-0006-0000-0100-00000D000000}">
      <text>
        <r>
          <rPr>
            <b/>
            <sz val="9"/>
            <color indexed="81"/>
            <rFont val="Segoe UI"/>
            <family val="2"/>
          </rPr>
          <t>Niels Jungbluth:</t>
        </r>
        <r>
          <rPr>
            <sz val="9"/>
            <color indexed="81"/>
            <rFont val="Segoe UI"/>
            <family val="2"/>
          </rPr>
          <t xml:space="preserve">
Lokales Kriterium Verluste kleiner als 20%</t>
        </r>
      </text>
    </comment>
    <comment ref="I36" authorId="0" shapeId="0" xr:uid="{00000000-0006-0000-0100-00000E000000}">
      <text>
        <r>
          <rPr>
            <b/>
            <sz val="9"/>
            <color indexed="81"/>
            <rFont val="Segoe UI"/>
            <family val="2"/>
          </rPr>
          <t>Niels Jungbluth:</t>
        </r>
        <r>
          <rPr>
            <sz val="9"/>
            <color indexed="81"/>
            <rFont val="Segoe UI"/>
            <family val="2"/>
          </rPr>
          <t xml:space="preserve">
Alle Energieprodukte  muss kleiner sein als Holzinput?</t>
        </r>
      </text>
    </comment>
    <comment ref="E37" authorId="1" shapeId="0" xr:uid="{1A3922A5-70C8-4493-AC7A-E6EA121FE8B1}">
      <text>
        <r>
          <rPr>
            <b/>
            <sz val="9"/>
            <color indexed="81"/>
            <rFont val="Segoe UI"/>
            <family val="2"/>
          </rPr>
          <t>Valentin Graf:</t>
        </r>
        <r>
          <rPr>
            <sz val="9"/>
            <color indexed="81"/>
            <rFont val="Segoe UI"/>
            <family val="2"/>
          </rPr>
          <t xml:space="preserve">
Wärmenutzungsgrad
</t>
        </r>
      </text>
    </comment>
    <comment ref="I38" authorId="0" shapeId="0" xr:uid="{00000000-0006-0000-0100-00000F000000}">
      <text>
        <r>
          <rPr>
            <b/>
            <sz val="9"/>
            <color indexed="81"/>
            <rFont val="Segoe UI"/>
            <family val="2"/>
          </rPr>
          <t>Niels Jungbluth:</t>
        </r>
        <r>
          <rPr>
            <sz val="9"/>
            <color indexed="81"/>
            <rFont val="Segoe UI"/>
            <family val="2"/>
          </rPr>
          <t xml:space="preserve">
energetische Effizienz der Biomassenutzung &lt;1?</t>
        </r>
      </text>
    </comment>
    <comment ref="I39" authorId="1" shapeId="0" xr:uid="{F8A8C1D8-4526-4B7D-AFA8-1D7228F81F20}">
      <text>
        <r>
          <rPr>
            <b/>
            <sz val="9"/>
            <color indexed="81"/>
            <rFont val="Segoe UI"/>
            <family val="2"/>
          </rPr>
          <t>Valentin Graf:</t>
        </r>
        <r>
          <rPr>
            <sz val="9"/>
            <color indexed="81"/>
            <rFont val="Segoe UI"/>
            <family val="2"/>
          </rPr>
          <t xml:space="preserve">
Jahresnutzungsgrad grösser/gleich Mindestanforderung Richtlinie VUE? 75% bei reiner Wärme, 60% bei 40% Strom.</t>
        </r>
      </text>
    </comment>
    <comment ref="I43" authorId="0" shapeId="0" xr:uid="{00000000-0006-0000-0100-000011000000}">
      <text>
        <r>
          <rPr>
            <b/>
            <sz val="9"/>
            <color indexed="81"/>
            <rFont val="Segoe UI"/>
            <family val="2"/>
          </rPr>
          <t>Niels Jungbluth:</t>
        </r>
        <r>
          <rPr>
            <sz val="9"/>
            <color indexed="81"/>
            <rFont val="Segoe UI"/>
            <family val="2"/>
          </rPr>
          <t xml:space="preserve">
Globales Kriterium erreicht?</t>
        </r>
      </text>
    </comment>
    <comment ref="I44" authorId="0" shapeId="0" xr:uid="{00000000-0006-0000-0100-000012000000}">
      <text>
        <r>
          <rPr>
            <b/>
            <sz val="9"/>
            <color indexed="81"/>
            <rFont val="Segoe UI"/>
            <family val="2"/>
          </rPr>
          <t>Niels Jungbluth:</t>
        </r>
        <r>
          <rPr>
            <sz val="9"/>
            <color indexed="81"/>
            <rFont val="Segoe UI"/>
            <family val="2"/>
          </rPr>
          <t xml:space="preserve">
Alle Prüfungen bestanden?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Niels Jungbluth</author>
  </authors>
  <commentList>
    <comment ref="Y5" authorId="0" shapeId="0" xr:uid="{00000000-0006-0000-0500-000001000000}">
      <text>
        <r>
          <rPr>
            <b/>
            <sz val="9"/>
            <color indexed="81"/>
            <rFont val="Segoe UI"/>
            <family val="2"/>
          </rPr>
          <t>Niels Jungbluth:</t>
        </r>
        <r>
          <rPr>
            <sz val="9"/>
            <color indexed="81"/>
            <rFont val="Segoe UI"/>
            <family val="2"/>
          </rPr>
          <t xml:space="preserve">
kg/MJ</t>
        </r>
      </text>
    </comment>
  </commentList>
</comments>
</file>

<file path=xl/sharedStrings.xml><?xml version="1.0" encoding="utf-8"?>
<sst xmlns="http://schemas.openxmlformats.org/spreadsheetml/2006/main" count="1045" uniqueCount="472">
  <si>
    <t>Eco-indicator</t>
  </si>
  <si>
    <t>Summe</t>
  </si>
  <si>
    <t>Pt</t>
  </si>
  <si>
    <t>Natural gas, burned in boiler condensing modulating &gt;100kW/RER U</t>
  </si>
  <si>
    <t>Transport, lorry 20-28t, fleet average/CH U</t>
  </si>
  <si>
    <t>biogas, vented/CH U</t>
  </si>
  <si>
    <t>methane, 96 vol-%, purification and distribution/kWh/CH U</t>
  </si>
  <si>
    <t>transport, district heat network, average/CH/I U</t>
  </si>
  <si>
    <t>Deutsch</t>
  </si>
  <si>
    <t>Français</t>
  </si>
  <si>
    <t>English</t>
  </si>
  <si>
    <t>Italian</t>
  </si>
  <si>
    <t>Text</t>
  </si>
  <si>
    <t>Eingabe:</t>
  </si>
  <si>
    <t>Entrée:</t>
  </si>
  <si>
    <t>Inputs</t>
  </si>
  <si>
    <t>Resultate:</t>
  </si>
  <si>
    <t>Résultats:</t>
  </si>
  <si>
    <t>pro kWh Strom</t>
  </si>
  <si>
    <t>par kWh de courant</t>
  </si>
  <si>
    <t>Keine Prüfung möglich</t>
  </si>
  <si>
    <t>Contrôle impossible</t>
  </si>
  <si>
    <t>Critère d'éco-électricité satisfait</t>
  </si>
  <si>
    <t>Critère d'éco-électricité non satisfait</t>
  </si>
  <si>
    <t>EI'99-aggregated, Hierarchist</t>
  </si>
  <si>
    <t>Bedarf erneuerbarer energetischer Ressourcen</t>
  </si>
  <si>
    <t>Besoin de ressources énergétiques renouvelables</t>
  </si>
  <si>
    <t>Bedarf nichterneuerbarer energetischer Ressourcen</t>
  </si>
  <si>
    <t>Besoin de ressources énergétiques non-renouvelables</t>
  </si>
  <si>
    <t>Anleitung</t>
  </si>
  <si>
    <t>Umrechnungsfaktor</t>
  </si>
  <si>
    <t>Eingabe 1</t>
  </si>
  <si>
    <t>Eingabe 2</t>
  </si>
  <si>
    <t>Zeile</t>
  </si>
  <si>
    <t>Transporte</t>
  </si>
  <si>
    <t>Grenzwert Strom</t>
  </si>
  <si>
    <t>Grenzwert Wärme</t>
  </si>
  <si>
    <t>Grenzwert Methan</t>
  </si>
  <si>
    <t>Infrastruktur</t>
  </si>
  <si>
    <t>Total</t>
  </si>
  <si>
    <t>Referenz</t>
  </si>
  <si>
    <t>Anlagenname und Referenzzeitraum</t>
  </si>
  <si>
    <t>naturemade Star Kriterium nicht erfüllt</t>
  </si>
  <si>
    <t>IPCC GWP 100a</t>
  </si>
  <si>
    <t>kg CO2 eq</t>
  </si>
  <si>
    <t>Non renewable, fossil</t>
  </si>
  <si>
    <t>Non-renewable, nuclear</t>
  </si>
  <si>
    <t>Non-renewable, land transformation</t>
  </si>
  <si>
    <t>MJ-eq</t>
  </si>
  <si>
    <t>kg CO2-eq</t>
  </si>
  <si>
    <t>Pkt</t>
  </si>
  <si>
    <t>Energy resources</t>
  </si>
  <si>
    <t>threshold value, methane/kWh/CH U</t>
  </si>
  <si>
    <t>threshold value, heat/kWh/CH U</t>
  </si>
  <si>
    <t>threshold value, electricity/kWh/CH U</t>
  </si>
  <si>
    <t>threshold value, cooling/kWh/CH U</t>
  </si>
  <si>
    <t>reference value, manure/kg/CH U</t>
  </si>
  <si>
    <t>reference value, co-substrate disposal/CHF/CH U</t>
  </si>
  <si>
    <t>Globales naturemade Star Kriterium erfüllt</t>
  </si>
  <si>
    <t>Prüfwert</t>
  </si>
  <si>
    <t>Umweltdeklaration</t>
  </si>
  <si>
    <t>Systemgrenzen</t>
  </si>
  <si>
    <t>jungbluth@esu-services.ch</t>
  </si>
  <si>
    <t>Substrate</t>
  </si>
  <si>
    <t>Distanz, Anlieferung mit Traktor</t>
  </si>
  <si>
    <t>Distanz, Anlieferung mit Lkw</t>
  </si>
  <si>
    <t>Menge</t>
  </si>
  <si>
    <t>Einfache Distanz Anlage - Ausbringung/Entsorgung</t>
  </si>
  <si>
    <t>Human Health</t>
  </si>
  <si>
    <t>Ecosystem Quality</t>
  </si>
  <si>
    <t>Resources</t>
  </si>
  <si>
    <t>Grenzwert Kälte</t>
  </si>
  <si>
    <t>Direkte Emissionen</t>
  </si>
  <si>
    <t>Frischmasse (FM)</t>
  </si>
  <si>
    <t>Gesamtinputmenge für Anlage</t>
  </si>
  <si>
    <t>Alle Angaben müssen für einen einheitlich Zeitraum (in der Regel ein Jahr) eingegeben werden.</t>
  </si>
  <si>
    <t>reference value, digested matter, solid/kg/CH U</t>
  </si>
  <si>
    <t>reference value, digested matter, liquid/kg/CH U</t>
  </si>
  <si>
    <t>reference value, raw sewage sludge treatment/kg/CH U</t>
  </si>
  <si>
    <t>Referenz Entsorgung</t>
  </si>
  <si>
    <t>naturemade Prüfwert</t>
  </si>
  <si>
    <t>Diesel, burned in building machine/GLO U</t>
  </si>
  <si>
    <t>Transport, tractor and trailer/CH U</t>
  </si>
  <si>
    <t>Fremdenergiebedarf</t>
  </si>
  <si>
    <t>Prüfungen</t>
  </si>
  <si>
    <t>direkte Emissionen</t>
  </si>
  <si>
    <t>Referenz Frischklärschlamm</t>
  </si>
  <si>
    <t>Eingabe 3</t>
  </si>
  <si>
    <t>Eingabe 4</t>
  </si>
  <si>
    <t>eingekaufte Substrate</t>
  </si>
  <si>
    <t>a</t>
  </si>
  <si>
    <t>Anteil</t>
  </si>
  <si>
    <t>Referenz direkte Emissionen</t>
  </si>
  <si>
    <t>Referenz Güllelager</t>
  </si>
  <si>
    <t>Referenz Kompost</t>
  </si>
  <si>
    <t>Verbrennung, Verteilung</t>
  </si>
  <si>
    <t/>
  </si>
  <si>
    <t>Die automatische Berechnung in Excel muss eingeschaltet sein (/Extras/Optionen/Berechnung --&gt; automatisch) oder man kann mit [F9] Taste jeweils neu berechnen lassen.</t>
  </si>
  <si>
    <t>T: +41 44 213 10 21</t>
  </si>
  <si>
    <t>www.naturemade.ch</t>
  </si>
  <si>
    <t>Rückfragen</t>
  </si>
  <si>
    <t>T. +41 44 940 61 32</t>
  </si>
  <si>
    <t>In der Spalte "Prüfungen" im Blatt Prüfungen werden spezielle Aspekte der Eingabe kontrolliert. Durch anklicken eines Kästchens wird im Kommentarfeld die Frage der Prüfung angegeben.</t>
  </si>
  <si>
    <t>Kenngrössenmodell erstellt durch Niels Jungbluth, ESU-services GmbH</t>
  </si>
  <si>
    <t>Outputs der Anlage</t>
  </si>
  <si>
    <t>Heizölverbrauch</t>
  </si>
  <si>
    <t>Erdgasverbrauch</t>
  </si>
  <si>
    <t>reference value, fuel from digester sludge/kg/CH U</t>
  </si>
  <si>
    <t>Finanzieller Ertrag (plus) bzw. Aufwand (minus), ohne Transportkosten, für die Anlage</t>
  </si>
  <si>
    <t>Anlagentyp</t>
  </si>
  <si>
    <t>Holzheizung</t>
  </si>
  <si>
    <t>WKK Holzvergasung, Pyroforce</t>
  </si>
  <si>
    <t>WKK Holzverbrennung</t>
  </si>
  <si>
    <t>WKK Holzverbrennung, ORC</t>
  </si>
  <si>
    <t>Holzschnitzel, Frischholz (Laubbaum)</t>
  </si>
  <si>
    <t xml:space="preserve">Bois frais déchiqueté (feuillu)   </t>
  </si>
  <si>
    <t>Holzschnitzel, Frischholz (Nadelbaum)</t>
  </si>
  <si>
    <t xml:space="preserve">Bois frais déchiqueté (résineux)   </t>
  </si>
  <si>
    <t xml:space="preserve">Restes de bois déchiquetés (p.ex. déchets de sciage) </t>
  </si>
  <si>
    <t>Holzschnitzel, Altholz</t>
  </si>
  <si>
    <t>Bois usagé déchiqueté</t>
  </si>
  <si>
    <t>Rapsölmethylester</t>
  </si>
  <si>
    <t>Huile de colza (ester méthylique)</t>
  </si>
  <si>
    <t>Biomethan verbrannt in Fackel, Heizung, BHKW</t>
  </si>
  <si>
    <t>Total Biomethannutzung, Brutto</t>
  </si>
  <si>
    <t>Aschen zur Entsorgung</t>
  </si>
  <si>
    <t>Cendres à éliminer</t>
  </si>
  <si>
    <t>Kehrichtverbrennungsanlage</t>
  </si>
  <si>
    <t xml:space="preserve">Usine d'incinération des ordures </t>
  </si>
  <si>
    <t>Décharge contrôlée pour résidus stabilisés</t>
  </si>
  <si>
    <t>Décharge souterraine</t>
  </si>
  <si>
    <t>Düngung in der Landwirtschaft</t>
  </si>
  <si>
    <t>Fertilisation dans l'agriculture</t>
  </si>
  <si>
    <t>Wood chips, hardwood, u=80%, at forest/RER U</t>
  </si>
  <si>
    <t>Wood chips, softwood, u=140%, at forest/RER U</t>
  </si>
  <si>
    <t>Wood chips, mixed, from industry, u=40%, at plant/RER U</t>
  </si>
  <si>
    <t>Waste wood chips, mixed, from industry, u=40%, at plant/CH U</t>
  </si>
  <si>
    <t>Rape methyl ester, at regional storage/CH U</t>
  </si>
  <si>
    <t>Holzmenge</t>
  </si>
  <si>
    <t>atro</t>
  </si>
  <si>
    <t>disposal, filter dust, wood, to residual material landfill/CH U</t>
  </si>
  <si>
    <t>Disposal, hazardous waste, 0% water, to underground deposit/DE U</t>
  </si>
  <si>
    <t>Disposal, wood ash mixture, pure, 0% water, to landfarming/CH U</t>
  </si>
  <si>
    <t>wood chips combustion, burned in furnace/MJ/CH U</t>
  </si>
  <si>
    <r>
      <t>Nm</t>
    </r>
    <r>
      <rPr>
        <vertAlign val="superscript"/>
        <sz val="9"/>
        <rFont val="Helvetica"/>
        <family val="2"/>
      </rPr>
      <t>3</t>
    </r>
    <r>
      <rPr>
        <sz val="9"/>
        <rFont val="Helvetica"/>
        <family val="2"/>
      </rPr>
      <t>/kg atro</t>
    </r>
  </si>
  <si>
    <t>Strombezug aus Netz</t>
  </si>
  <si>
    <t>Strom: Verkauf und Verbrauch ausserhalb der Anlage</t>
  </si>
  <si>
    <t>Biomethan: Verkauf und Verbrauch ausserhalb der Anlage</t>
  </si>
  <si>
    <r>
      <t xml:space="preserve">ungewollte Biogas Verluste </t>
    </r>
    <r>
      <rPr>
        <sz val="10"/>
        <rFont val="Arial"/>
        <family val="2"/>
      </rPr>
      <t>(Methanschlupf und Unterbrüche)</t>
    </r>
  </si>
  <si>
    <t>Gesamtproduktion Strom, Brutto</t>
  </si>
  <si>
    <t>Disposal, inert waste, 5% water, to inert material landfill/CH U</t>
  </si>
  <si>
    <t>Alle weissen Felder im Blatt „Prüfung“ müssen ausgefüllt werden. Bei Eingabe einer Null erscheint die für die Eingabe geforderte Einheit. Bestehende Formeln in weissen Zellen können mit direkten Eingaben oder eigenen Formeln ersetzt werden. Farbige Zellen dürfen nicht verändert werden. Aus den Drop-Down Menüs müssen die passenden Anlagenspezifikationen ausgewählt werden.</t>
  </si>
  <si>
    <t>Entwicklung und Auftragnehmer</t>
  </si>
  <si>
    <t>Für Fragen und Rückmeldungen ist die naturemade Geschäftsstelle zuständig. Bitte schicken Sie hierzu die ausgefüllte Excel-Tabelle, abgespeichert unter neuem Namen unter Beibehaltung der Versionennummer an folgende Adresse:</t>
  </si>
  <si>
    <t>Die Umweltdeklaration weisst die Umweltbelastungen grob aus. Unterschiede bei Vergleichen von weniger als 10% sind in der Regel nicht relevant.</t>
  </si>
  <si>
    <t>Holzschnitzel, Restholz (z.B. aus Sägerei)</t>
  </si>
  <si>
    <t>Energiebezug der Anlage (Systemgrenzen beachten)</t>
  </si>
  <si>
    <t>Eigenverbrauch der Anlage</t>
  </si>
  <si>
    <t>Einspeisung Wärmeverbund / Verteilverluste</t>
  </si>
  <si>
    <t>Nahwärmenutzung: Verkauf, Verbrauch im Gebäudekomplex</t>
  </si>
  <si>
    <t>Reaktordeponie</t>
  </si>
  <si>
    <t>Sondermülldeponie (Untertage)</t>
  </si>
  <si>
    <t>energetischer Wirkungsgrad</t>
  </si>
  <si>
    <t>Holzpellets</t>
  </si>
  <si>
    <t>Schütt-kubikmeter</t>
  </si>
  <si>
    <t>relative Feuchte (W)</t>
  </si>
  <si>
    <t>W Wassergehalt</t>
  </si>
  <si>
    <t>Wood pellets, u=10%, at storehouse/RER U</t>
  </si>
  <si>
    <t>wood chips combustion, burned in cogen 6400kWth/MJ/CH U</t>
  </si>
  <si>
    <t>wood chips combustion, burned in cogen ORC 1400kWth/MJ/CH U</t>
  </si>
  <si>
    <t>%vol</t>
  </si>
  <si>
    <t>bis 70 kW</t>
  </si>
  <si>
    <t>über 10 MW</t>
  </si>
  <si>
    <t>    13</t>
  </si>
  <si>
    <t>  13</t>
  </si>
  <si>
    <t>  11</t>
  </si>
  <si>
    <r>
      <t>mg/m</t>
    </r>
    <r>
      <rPr>
        <vertAlign val="superscript"/>
        <sz val="10"/>
        <rFont val="Arial"/>
        <family val="2"/>
      </rPr>
      <t>3</t>
    </r>
  </si>
  <si>
    <t>      –</t>
  </si>
  <si>
    <t>gasförmige organische Stoffe, angegeben als Gesamtkohlenstoff (C)</t>
  </si>
  <si>
    <t>    –</t>
  </si>
  <si>
    <t xml:space="preserve">      ab 1. Januar 2012</t>
  </si>
  <si>
    <t>Kohlenmonoxid (CO)</t>
  </si>
  <si>
    <r>
      <t>Stickoxide (NO</t>
    </r>
    <r>
      <rPr>
        <vertAlign val="subscript"/>
        <sz val="10"/>
        <rFont val="Arial"/>
        <family val="2"/>
      </rPr>
      <t>x</t>
    </r>
    <r>
      <rPr>
        <sz val="10"/>
        <rFont val="Arial"/>
        <family val="2"/>
      </rPr>
      <t>)</t>
    </r>
    <r>
      <rPr>
        <vertAlign val="subscript"/>
        <sz val="10"/>
        <rFont val="Arial"/>
        <family val="2"/>
      </rPr>
      <t/>
    </r>
  </si>
  <si>
    <t>Ammoniak und Ammoniumverbindungen, angegeben als Ammoniak</t>
  </si>
  <si>
    <t>70 kW bis 500 kW</t>
  </si>
  <si>
    <t>500 kW bis 1 MW</t>
  </si>
  <si>
    <t>1 MW bis 10 MW</t>
  </si>
  <si>
    <t>Feststoffe insgesamt (Staub)</t>
  </si>
  <si>
    <t>Sauerstoffgehalt im Abgas</t>
  </si>
  <si>
    <t>ORC - Organic Ranking Cycle</t>
  </si>
  <si>
    <t>Holz atro ecoinvent</t>
  </si>
  <si>
    <t>Holz atro Anlage</t>
  </si>
  <si>
    <t>t/m3</t>
  </si>
  <si>
    <t>%</t>
  </si>
  <si>
    <t>unterer Heizwert</t>
  </si>
  <si>
    <t>kWh</t>
  </si>
  <si>
    <t>Stickoxide NOx als NO2 / Emissionsgrenzwerte gemäss LRV</t>
  </si>
  <si>
    <t>Staub (= Feststoffe), PM10 / Emissionsgrenzwerte gemäss LRV</t>
  </si>
  <si>
    <t>Blei / Emissionsgrenzwerte gemäss LRV</t>
  </si>
  <si>
    <t>Cadmium / Emissionsgrenzwerte gemäss LRV</t>
  </si>
  <si>
    <t>Zink / Emissionsgrenzwerte gemäss LRV</t>
  </si>
  <si>
    <t>Gesamtmenge Energieprodukte</t>
  </si>
  <si>
    <t>t FM</t>
  </si>
  <si>
    <t>kWhHolz_tAtro</t>
  </si>
  <si>
    <t>U feuchte ecoinvent</t>
  </si>
  <si>
    <t>Holz FM Anlage</t>
  </si>
  <si>
    <t>U Feuchte</t>
  </si>
  <si>
    <t>Für die Angabe der relativen Feuchte (W) sollen nach Möglichkeit gemessene Werte eingesetzt werden. Stehen diese nicht zur Verfügung, so können folgende Standardwerte verwendet werden.</t>
  </si>
  <si>
    <t>Schnitzel grün</t>
  </si>
  <si>
    <t>Schnitzel halbgrün</t>
  </si>
  <si>
    <t>Schnitzel trocken</t>
  </si>
  <si>
    <t>Default Werte für die Eingabe der relativen Feuchte im Blatt Prüfung, Spalte D</t>
  </si>
  <si>
    <t>Holzschnitzel, Laubbaum</t>
  </si>
  <si>
    <t>Holzschnitzel, Nadelbaum</t>
  </si>
  <si>
    <t>Holzvergasung, Repotec, Methanisierung</t>
  </si>
  <si>
    <t>Falls nur bekannt ist, ob es sich um "grüne", "halbgrüne" oder "trockene" Schnitzel handelt, können auch folgende Werte verwendet werden. Bitte schätzen Sie dann ab, zu welchen Anteilen es sich um Laub-, Nadel- oder Restholz handelt und tragen diese in die entsprechenden Zeilen ein.</t>
  </si>
  <si>
    <t>naturemade Star Prüfung: Energieprodukte aus Holzenergieanlagen</t>
  </si>
  <si>
    <r>
      <t>Nm</t>
    </r>
    <r>
      <rPr>
        <vertAlign val="superscript"/>
        <sz val="9"/>
        <rFont val="Helvetica"/>
        <family val="2"/>
      </rPr>
      <t>3</t>
    </r>
    <r>
      <rPr>
        <sz val="9"/>
        <rFont val="Helvetica"/>
        <family val="2"/>
      </rPr>
      <t>/a</t>
    </r>
  </si>
  <si>
    <t>Nm3/kg Biomethan</t>
  </si>
  <si>
    <t>Gesamtproduktion Biomethan, Brutto (12.7 kWh/kg)</t>
  </si>
  <si>
    <t>wood chips, gasified in cogen, fixed bed/MJ/KWM U</t>
  </si>
  <si>
    <t>emission, gasification/m3/KWM U</t>
  </si>
  <si>
    <t>wood chips, in fluidized bed gasification, with biomethane production/MJ/KWM U</t>
  </si>
  <si>
    <t>Quantité</t>
  </si>
  <si>
    <t>Type d'installation</t>
  </si>
  <si>
    <t>Consommation d'électricité du réseau</t>
  </si>
  <si>
    <t>Biogaz des torchères, chauffage, cogénération</t>
  </si>
  <si>
    <t>Courant: vente et consommation hors de l'installation</t>
  </si>
  <si>
    <t>Consommation de gaz naturel</t>
  </si>
  <si>
    <t>Input total de l'installation</t>
  </si>
  <si>
    <t>Luftemissionen im trockn. Abgas bez. auf 11%/13% O2 / Feuerungswärmeleistung</t>
  </si>
  <si>
    <t>Humidité relative</t>
  </si>
  <si>
    <t>Transports</t>
  </si>
  <si>
    <t>Combustion, distribution</t>
  </si>
  <si>
    <t>Déclaration environnementale</t>
  </si>
  <si>
    <t>Infrastructure</t>
  </si>
  <si>
    <t>Valeur de contrôle</t>
  </si>
  <si>
    <t>Chauffage de bois</t>
  </si>
  <si>
    <t>CCF bois avec pyroforce</t>
  </si>
  <si>
    <t>Méthanisation de bois, Repotec, méthanisation</t>
  </si>
  <si>
    <t>Vente de chaleur</t>
  </si>
  <si>
    <t>jusqu' à 70 kW</t>
  </si>
  <si>
    <t>70 kw à 500 kW</t>
  </si>
  <si>
    <t>500 kW à 1 MW</t>
  </si>
  <si>
    <t>1 MW à 10 MW</t>
  </si>
  <si>
    <t>plus de 10 MW</t>
  </si>
  <si>
    <t>Production totale de courant, brut</t>
  </si>
  <si>
    <t>Consommation propre de l'installation</t>
  </si>
  <si>
    <t>Quantité totale des produits d'énergie</t>
  </si>
  <si>
    <t>Contrôle éco-électricité: produits d'énergie des installations de bois énergie</t>
  </si>
  <si>
    <t>Substrats pour l'installation</t>
  </si>
  <si>
    <t>Consommation de mazout</t>
  </si>
  <si>
    <t>Pertes de biogaz (volatilisation et interruptions)</t>
  </si>
  <si>
    <t>Distance simple installation - épandage/traitement des déchets</t>
  </si>
  <si>
    <t>Alimentation de chauffage à distance / pertes de distribution</t>
  </si>
  <si>
    <t>Mètre cubes de plaquettes</t>
  </si>
  <si>
    <t>Substrats achetés</t>
  </si>
  <si>
    <t>Valeur-limite courant</t>
  </si>
  <si>
    <t>Valeur-limite chaleur</t>
  </si>
  <si>
    <t>Valeur-limite méthane</t>
  </si>
  <si>
    <t>Oxydes d'azote NOx en NO2 / valeur-limite selon OPair</t>
  </si>
  <si>
    <t>PM2.5, Particules, poussière / valeur-limite selon OPair</t>
  </si>
  <si>
    <t>Plomb / valeur-limite selon OPair</t>
  </si>
  <si>
    <t>Cadmium / valeur-limite selon OPair</t>
  </si>
  <si>
    <t>Zinc / valeur-limite selon OPair</t>
  </si>
  <si>
    <t>Valeur-limite froid</t>
  </si>
  <si>
    <t>Granulés de bois</t>
  </si>
  <si>
    <t>CCF bois</t>
  </si>
  <si>
    <t>Émissions atmosph. dans le gaz épuré rel. à 11%/13% O2 / puissance calorifique</t>
  </si>
  <si>
    <t>Chaleur à proximité: vente, consomm. dans l'ensemble de bâtiments</t>
  </si>
  <si>
    <t>Nom de l'installation et période de référence:</t>
  </si>
  <si>
    <t>Émissions directes</t>
  </si>
  <si>
    <t>Degré d'efficacité énergétique</t>
  </si>
  <si>
    <t>Die Berechnungen für Holzvergasungsanlagen beruhen auf Planungswerten. Somit ist nur eine vorläufige Zertifizierung möglich. Das Modell muss noch mit tatsächlichen Betriebsdaten aufdatiert werden, sobald diese zur Verfügung stehen.</t>
  </si>
  <si>
    <t>Biomethane: vente et consommation hors de l'installation</t>
  </si>
  <si>
    <t>Dieselverbrauch (10 kWh/Liter)</t>
  </si>
  <si>
    <t>Consommation de diesel (10 kWh/litre)</t>
  </si>
  <si>
    <t>Total Wärmeverkauf (nach Abzug Verteilverluste)</t>
  </si>
  <si>
    <t>Molkenstrasse 21</t>
  </si>
  <si>
    <t>8004 Zürich</t>
  </si>
  <si>
    <t>Verein für umweltgerechte Energie (VUE), naturemade Geschäftsstelle</t>
  </si>
  <si>
    <t>Outputs</t>
  </si>
  <si>
    <t xml:space="preserve">Valeur-limite naturemade </t>
  </si>
  <si>
    <t>Matière fraîche (MF)</t>
  </si>
  <si>
    <t xml:space="preserve">Revenus (+) ou Dépenses (-) pour l'installation, sauf frais de transport </t>
  </si>
  <si>
    <t>Utilisation de biométhane, brut</t>
  </si>
  <si>
    <t>Quantité de bois</t>
  </si>
  <si>
    <t>Distance simple pour la livraison du co-substrat par tracteur</t>
  </si>
  <si>
    <t>Distance simple pour la livraison du co-substrat par camion</t>
  </si>
  <si>
    <t>Achat d'énergie pour l'installation (cf.limites du système)</t>
  </si>
  <si>
    <t>Production totale de biogaz, brut (12.7kWh/kg)</t>
  </si>
  <si>
    <t>Consommation d'énergie additionnelle</t>
  </si>
  <si>
    <t>Référence pour le traitement des déchets</t>
  </si>
  <si>
    <t>Référence pour les émissions directes</t>
  </si>
  <si>
    <t>Référence pour le dépôt de lisier</t>
  </si>
  <si>
    <t>Référence pour le compost</t>
  </si>
  <si>
    <t>Référence pour les boues d'épuration fraîches</t>
  </si>
  <si>
    <t xml:space="preserve">Calculation: </t>
  </si>
  <si>
    <t>Compare</t>
  </si>
  <si>
    <t xml:space="preserve">Results: </t>
  </si>
  <si>
    <t>Impact assessment</t>
  </si>
  <si>
    <t xml:space="preserve">Product 1: </t>
  </si>
  <si>
    <t>1 kWh threshold value, methane/kWh/CH U (of project 208 naturemade KWM)</t>
  </si>
  <si>
    <t xml:space="preserve">Product 2: </t>
  </si>
  <si>
    <t>1 kWh threshold value, heat/kWh/CH U (of project 208 naturemade KWM)</t>
  </si>
  <si>
    <t xml:space="preserve">Product 3: </t>
  </si>
  <si>
    <t>1 kWh threshold value, electricity/kWh/CH U (of project 208 naturemade KWM)</t>
  </si>
  <si>
    <t xml:space="preserve">Product 4: </t>
  </si>
  <si>
    <t>1 kWh threshold value, cooling/kWh/CH U (of project 208 naturemade KWM)</t>
  </si>
  <si>
    <t xml:space="preserve">Product 5: </t>
  </si>
  <si>
    <t>1 kg reference value, manure/kg/CH U (of project 208 naturemade KWM)</t>
  </si>
  <si>
    <t xml:space="preserve">Product 6: </t>
  </si>
  <si>
    <t>1 kg reference value, digested matter, solid/kg/CH U (of project 208 naturemade KWM)</t>
  </si>
  <si>
    <t xml:space="preserve">Product 7: </t>
  </si>
  <si>
    <t>1 kg reference value, digested matter, liquid/kg/CH U (of project 208 naturemade KWM)</t>
  </si>
  <si>
    <t xml:space="preserve">Product 8: </t>
  </si>
  <si>
    <t>1 CHF reference value, co-substrate disposal/CHF/CH U (of project 208 naturemade KWM)</t>
  </si>
  <si>
    <t xml:space="preserve">Product 9: </t>
  </si>
  <si>
    <t>1 kg reference value, raw sewage sludge treatment/kg/CH U (of project 208 naturemade KWM)</t>
  </si>
  <si>
    <t xml:space="preserve">Product 10: </t>
  </si>
  <si>
    <t>1 kg reference value, fuel from digester sludge/kg/CH U (of project 208 naturemade KWM)</t>
  </si>
  <si>
    <t xml:space="preserve">Method: </t>
  </si>
  <si>
    <t>Eco-indicator 99 (H) V2.09 / Europe EI 99 H/A</t>
  </si>
  <si>
    <t xml:space="preserve">Indicator: </t>
  </si>
  <si>
    <t>Single score</t>
  </si>
  <si>
    <t xml:space="preserve">Unit: </t>
  </si>
  <si>
    <t>mPt</t>
  </si>
  <si>
    <t xml:space="preserve">Skip categories: </t>
  </si>
  <si>
    <t>With result = 0</t>
  </si>
  <si>
    <t xml:space="preserve">Exclude infrastructure processes: </t>
  </si>
  <si>
    <t>No</t>
  </si>
  <si>
    <t xml:space="preserve">Exclude long-term emissions: </t>
  </si>
  <si>
    <t>Yes</t>
  </si>
  <si>
    <t xml:space="preserve">Per impact category: </t>
  </si>
  <si>
    <t xml:space="preserve">Sorted on item: </t>
  </si>
  <si>
    <t>Damage category</t>
  </si>
  <si>
    <t xml:space="preserve">Sort order: </t>
  </si>
  <si>
    <t>Ascending</t>
  </si>
  <si>
    <t>Unit</t>
  </si>
  <si>
    <t xml:space="preserve">Product 11: </t>
  </si>
  <si>
    <t xml:space="preserve">Product 12: </t>
  </si>
  <si>
    <t xml:space="preserve">Product 13: </t>
  </si>
  <si>
    <t xml:space="preserve">Product 14: </t>
  </si>
  <si>
    <t xml:space="preserve">Product 15: </t>
  </si>
  <si>
    <t>1 kWh biogas, vented/CH U (of project 208 naturemade KWM)</t>
  </si>
  <si>
    <t xml:space="preserve">Product 16: </t>
  </si>
  <si>
    <t>1 kWh methane, 96 vol-%, purification and distribution/kWh/CH U (of project 208 naturemade KWM)</t>
  </si>
  <si>
    <t xml:space="preserve">Product 17: </t>
  </si>
  <si>
    <t>1 kWh wood chips combustion, burned in furnace/MJ/CH U (of project 208 naturemade KWM)</t>
  </si>
  <si>
    <t xml:space="preserve">Product 18: </t>
  </si>
  <si>
    <t>1 kWh wood chips combustion, burned in cogen 6400kWth/MJ/CH U (of project 208 naturemade KWM)</t>
  </si>
  <si>
    <t xml:space="preserve">Product 19: </t>
  </si>
  <si>
    <t>1 kWh wood chips combustion, burned in cogen ORC 1400kWth/MJ/CH U (of project 208 naturemade KWM)</t>
  </si>
  <si>
    <t xml:space="preserve">Product 20: </t>
  </si>
  <si>
    <t>1 kWh wood chips, gasified in cogen, fixed bed/MJ/KWM U (of project 208 naturemade KWM)</t>
  </si>
  <si>
    <t xml:space="preserve">Product 21: </t>
  </si>
  <si>
    <t>1 kWh wood chips, in fluidized bed gasification, with biomethane production/MJ/KWM U (of project 208 naturemade KWM)</t>
  </si>
  <si>
    <t xml:space="preserve">Product 22: </t>
  </si>
  <si>
    <t>1 m3 emission, gasification/m3/KWM U (of project 208 naturemade KWM)</t>
  </si>
  <si>
    <t xml:space="preserve">Product 23: </t>
  </si>
  <si>
    <t xml:space="preserve">Product 24: </t>
  </si>
  <si>
    <t xml:space="preserve">Product 25: </t>
  </si>
  <si>
    <t xml:space="preserve">Product 26: </t>
  </si>
  <si>
    <t xml:space="preserve">Product 27: </t>
  </si>
  <si>
    <t xml:space="preserve">Product 28: </t>
  </si>
  <si>
    <t>1 kWh transport, district heat network, average/CH/I U (of project 208 naturemade KWM)</t>
  </si>
  <si>
    <t xml:space="preserve">Product 29: </t>
  </si>
  <si>
    <t xml:space="preserve">Product 30: </t>
  </si>
  <si>
    <t xml:space="preserve">Product 31: </t>
  </si>
  <si>
    <t>1 ton disposal, filter dust, wood, to residual material landfill/CH U (of project 208 naturemade KWM)</t>
  </si>
  <si>
    <t xml:space="preserve">Product 32: </t>
  </si>
  <si>
    <t xml:space="preserve">Product 33: </t>
  </si>
  <si>
    <t>electricity, medium voltage, at grid/kWh/CH U</t>
  </si>
  <si>
    <t>Transport, freight, rail/RER U</t>
  </si>
  <si>
    <t>Transport, transoceanic freight ship/OCE U</t>
  </si>
  <si>
    <t>Mittlere einfache Transportentfernung, Lkw</t>
  </si>
  <si>
    <t>Mittlere einfache Transportentfernung, Bahn</t>
  </si>
  <si>
    <t>Mittlere einfache Transportentfernung, Schiff</t>
  </si>
  <si>
    <t>Distance moyenne de transport, camion</t>
  </si>
  <si>
    <t>Distance moyenne de transport, train</t>
  </si>
  <si>
    <t>Distance moyenne de transport, bateau</t>
  </si>
  <si>
    <t>Eingabe 5</t>
  </si>
  <si>
    <t>Eingabe 6</t>
  </si>
  <si>
    <t>Characterisation</t>
  </si>
  <si>
    <t>Impact category</t>
  </si>
  <si>
    <t>Cumulative Energy Demand, differenziert V1.04 / CED, non-renewable</t>
  </si>
  <si>
    <t>MJ</t>
  </si>
  <si>
    <t>System processes</t>
  </si>
  <si>
    <t>Für die Berechnung des Energieeigenverbrauchs und für die Grenzen der Ökobilanzierung sind die Systemgrenzen gemäss Hintergrundbericht zu beachten. Grundsätzlich erfolgen die Eingaben aus Sicht des Anlagenbetreibers und seinem wirtschaftlichen Entscheidungsbereich. Bei den Transporten müssen alle Transporte von der Schnitzelherstellung bis zur Anlage berücksichtigt werden. Bei Importen per Schiff bzw. Bahn müssen auch Lkw Transporte im Herkunftsland mit erfasst werden.</t>
  </si>
  <si>
    <t>http://www.esu-services.ch/projects/naturemade/</t>
  </si>
  <si>
    <t>Vorstadt 14</t>
  </si>
  <si>
    <t>CH-8200 Schaffhausen</t>
  </si>
  <si>
    <t>1 m3 Wood chips, hardwood, u=80%, at forest/RER U (of project ESU database 2019)</t>
  </si>
  <si>
    <t>1 m3 Wood chips, softwood, u=140%, at forest/RER U (of project ESU database 2019)</t>
  </si>
  <si>
    <t>1 m3 Wood chips, mixed, from industry, u=40%, at plant/RER U (of project ESU database 2019)</t>
  </si>
  <si>
    <t>1 m3 Wood pellets, u=10%, at storehouse/RER U (of project ESU database 2019)</t>
  </si>
  <si>
    <t>1 m3 Waste wood chips, mixed, from industry, u=40%, at plant/CH U (of project ESU database 2019)</t>
  </si>
  <si>
    <t>1000 kg Rape methyl ester, at regional storage/CH U (of project ESU database 2019)</t>
  </si>
  <si>
    <t>1 kWh electricity, medium voltage, at grid/kWh/CH U (of project ESU database 2019)</t>
  </si>
  <si>
    <t>3.6 MJ light fuel oil, burned in industrial furnace 1MW, non-modulating/MJ/CH U (of project ESU database 2019)</t>
  </si>
  <si>
    <t>3.6 MJ Diesel, burned in building machine/GLO U (of project ESU database 2019)</t>
  </si>
  <si>
    <t>3.6 MJ Natural gas, burned in boiler condensing modulating &gt;100kW/RER U (of project ESU database 2019)</t>
  </si>
  <si>
    <t>1 tkm Transport, lorry 20-28t, fleet average/CH U (of project ESU database 2019)</t>
  </si>
  <si>
    <t>1 tkm Transport, freight, rail/RER U (of project ESU database 2019)</t>
  </si>
  <si>
    <t>1 tkm Transport, transoceanic freight ship/OCE U (of project ESU database 2019)</t>
  </si>
  <si>
    <t>1 tkm Transport, tractor and trailer/CH U (of project ESU database 2019)</t>
  </si>
  <si>
    <t>1 kg emission, NOx/kg/CH U (of project 208 naturemade KWM)</t>
  </si>
  <si>
    <t>1 kg emission, PM2.5/kg/CH U (of project 208 naturemade KWM)</t>
  </si>
  <si>
    <t>1 kg emission, lead/kg/CH U (of project 208 naturemade KWM)</t>
  </si>
  <si>
    <t>1 kg emission, cadmium/kg/CH U (of project 208 naturemade KWM)</t>
  </si>
  <si>
    <t>1 kg emission, zinc/kg/CH U (of project 208 naturemade KWM)</t>
  </si>
  <si>
    <t>1000 kg disposal, wood ash mixture, pure, 0% water, to municipal incineration/kg/CH U (of project ESU database 2019)</t>
  </si>
  <si>
    <t>1000 kg Disposal, inert waste, 5% water, to inert material landfill/CH U (of project ESU database 2019)</t>
  </si>
  <si>
    <t>1000 kg Disposal, hazardous waste, 0% water, to underground deposit/DE U (of project ESU database 2019)</t>
  </si>
  <si>
    <t>1000 kg Disposal, wood ash mixture, pure, 0% water, to landfarming/CH U (of project ESU database 2019)</t>
  </si>
  <si>
    <t>Ecological Scarcity 2013, categories, res. cor. V1.03 / Ecological scarcity 2013</t>
  </si>
  <si>
    <t>Never</t>
  </si>
  <si>
    <t xml:space="preserve">Default units: </t>
  </si>
  <si>
    <t>light fuel oil, burned in industrial furnace 1MW, non-modulating/MJ/CH U</t>
  </si>
  <si>
    <t>emission, NOx/kg/CH U</t>
  </si>
  <si>
    <t>emission, PM2.5/kg/CH U</t>
  </si>
  <si>
    <t>emission, lead/kg/CH U</t>
  </si>
  <si>
    <t>emission, cadmium/kg/CH U</t>
  </si>
  <si>
    <t>emission, zinc/kg/CH U</t>
  </si>
  <si>
    <t>disposal, wood ash mixture, pure, 0% water, to municipal incineration/kg/CH U</t>
  </si>
  <si>
    <t>Water resources</t>
  </si>
  <si>
    <t>Mineral resources</t>
  </si>
  <si>
    <t>Land use</t>
  </si>
  <si>
    <t>Global warming</t>
  </si>
  <si>
    <t>Ozone layer depletion</t>
  </si>
  <si>
    <t>Main air pollutants and PM</t>
  </si>
  <si>
    <t>Carcinogenic substances into air</t>
  </si>
  <si>
    <t>Heavy metals into air</t>
  </si>
  <si>
    <t>Water pollutants</t>
  </si>
  <si>
    <t>POP into water</t>
  </si>
  <si>
    <t>Heavy metals into water</t>
  </si>
  <si>
    <t>Pesticides into soil</t>
  </si>
  <si>
    <t>Heavy metals into soil</t>
  </si>
  <si>
    <t>Radioactive substances into air</t>
  </si>
  <si>
    <t>Radioactive substances into water</t>
  </si>
  <si>
    <t>Noise</t>
  </si>
  <si>
    <t>Non radioactive waste to deposit</t>
  </si>
  <si>
    <t>Radioactive waste to deposit</t>
  </si>
  <si>
    <t>Umweltbelastungspunkte 2013</t>
  </si>
  <si>
    <t>Méthode de la saturation écologique 2013</t>
  </si>
  <si>
    <t>Eco-indicator v2.10 und ecoinvent ESU-database 2019</t>
  </si>
  <si>
    <t>valentin.graf@naturemade.ch</t>
  </si>
  <si>
    <t>Eco-indicator 99 (H) V2.10 / Europe EI 99 H/A</t>
  </si>
  <si>
    <t>Treibhauseffekt 100a 2013</t>
  </si>
  <si>
    <t>Effet de serre 100a 2013</t>
  </si>
  <si>
    <t>IPCC 2013 GWP 100a V1.03</t>
  </si>
  <si>
    <t>1 kg reference value, manure/kg/DE U (of project 208 naturemade KWM)</t>
  </si>
  <si>
    <t>1 kg reference value, manure/kg/HU U (of project 208 naturemade KWM)</t>
  </si>
  <si>
    <t>1 kg reference value, manure/kg/DK U (of project 208 naturemade KWM)</t>
  </si>
  <si>
    <t>1 m3 reference value, paper production effluent/kg/CH U (of project 208 naturemade KWM)</t>
  </si>
  <si>
    <t>reference value, manure/kg/DE U</t>
  </si>
  <si>
    <t>reference value, manure/kg/HU U</t>
  </si>
  <si>
    <t>reference value, manure/kg/DK U</t>
  </si>
  <si>
    <t>reference value, paper production effluent/kg/CH U</t>
  </si>
  <si>
    <t>Beispielanlage</t>
  </si>
  <si>
    <t>Bei Fragen zum Modell sollte zunächst der vollständige Hintergrundbericht angeschaut werden. Jungbluth N. (2019) Handbuch für die naturemade Kennwertmodelle: Ökobilanzen für die Prüfung des globalen Kriteriums. ESU-services im Auftrag vom Verein für umweltgerechte Energie (VUE), Schaffhausen.</t>
  </si>
  <si>
    <t>30.10.2019 - Neuberechnung der Ökobilanzhintergrunddaten für alle 4 Indikatoren</t>
  </si>
  <si>
    <t>Strom</t>
  </si>
  <si>
    <t>Wärme</t>
  </si>
  <si>
    <t>Total berechnet</t>
  </si>
  <si>
    <t>24.9.2020 - Korrektur der Formel für Wirkungsgrad Überprüfung I39</t>
  </si>
  <si>
    <t>Prüfung</t>
  </si>
  <si>
    <t>Wärme Min</t>
  </si>
  <si>
    <t>Version zuletzt überarbeitet im September 2020 durch nj</t>
  </si>
  <si>
    <t>© ESU-services GmbH, Version 2021-4.3</t>
  </si>
  <si>
    <t>13.1.2021 - Korrektur Übersetzung</t>
  </si>
  <si>
    <t>CCF bois avec ORC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</si>
</sst>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8">
    <numFmt numFmtId="43" formatCode="_ * #,##0.00_ ;_ * \-#,##0.00_ ;_ * &quot;-&quot;??_ ;_ @_ "/>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
    <numFmt numFmtId="169" formatCode="#,##0&quot; m3&quot;;[Red]#,##0&quot; m3&quot;"/>
    <numFmt numFmtId="170" formatCode="#,##0&quot; km&quot;;[Red]#,##0&quot; km&quot;"/>
    <numFmt numFmtId="171" formatCode="#,##0&quot; kWh&quot;;[Red]#,##0&quot; kWh&quot;"/>
    <numFmt numFmtId="172" formatCode="0.000"/>
    <numFmt numFmtId="173" formatCode="0.0"/>
    <numFmt numFmtId="174" formatCode="_ * #,##0.0_ ;_ * \-#,##0.0_ ;_ * &quot;-&quot;??_ ;_ @_ "/>
    <numFmt numFmtId="175" formatCode="_ * #,##0_ ;_ * \-#,##0_ ;_ * &quot;-&quot;??_ ;_ @_ "/>
    <numFmt numFmtId="176" formatCode="_ * #,##0.000_ ;_ * \-#,##0.000_ ;_ * &quot;-&quot;??_ ;_ @_ "/>
    <numFmt numFmtId="177" formatCode="_ * #,##0.0000_ ;_ * \-#,##0.0000_ ;_ * &quot;-&quot;??_ ;_ @_ "/>
    <numFmt numFmtId="178" formatCode="0.00E+0;[=0]&quot;0&quot;;0.00E+0"/>
    <numFmt numFmtId="179" formatCode="0.0%;[=0]&quot;0%&quot;;0.0%"/>
    <numFmt numFmtId="180" formatCode="#,##0.0&quot; dt&quot;;[Red]#,##0.0&quot; dt&quot;"/>
    <numFmt numFmtId="181" formatCode="#,##0&quot; kg&quot;;[Red]#,##0&quot; kg&quot;"/>
    <numFmt numFmtId="182" formatCode="#,##0&quot; m2a&quot;;[Red]#,##0&quot; m2a&quot;"/>
    <numFmt numFmtId="183" formatCode="#,##0.0&quot; ZKh&quot;;[Red]#,##0.0&quot; ZKh&quot;"/>
    <numFmt numFmtId="184" formatCode="#,##0&quot; m2&quot;;[Red]#,##0&quot; m2&quot;"/>
    <numFmt numFmtId="185" formatCode="#,##0&quot; Liter&quot;;[Red]#,##0&quot; Liter&quot;"/>
    <numFmt numFmtId="186" formatCode="0.00%;[=0]&quot;0&quot;;General"/>
    <numFmt numFmtId="187" formatCode="[=0]&quot;&quot;;General"/>
    <numFmt numFmtId="188" formatCode="0.00E+0;[=0]&quot;-&quot;;0.00E+0"/>
    <numFmt numFmtId="189" formatCode="#,##0&quot; t&quot;;[Red]#,##0&quot; t&quot;"/>
    <numFmt numFmtId="190" formatCode="#,##0&quot; CHF&quot;;[Red]\-#,##0&quot; CHF&quot;"/>
    <numFmt numFmtId="191" formatCode="0.00E+0;[=0]&quot;0&quot;;General"/>
    <numFmt numFmtId="192" formatCode="0.00000"/>
    <numFmt numFmtId="193" formatCode="#,##0&quot; tkm&quot;;[Red]#,##0&quot; tkm&quot;"/>
    <numFmt numFmtId="194" formatCode="0.000E+00"/>
    <numFmt numFmtId="195" formatCode="#,##0.0&quot; t&quot;;[Red]#,##0.0&quot; t&quot;"/>
    <numFmt numFmtId="196" formatCode="#,##0&quot; mg/Nm3&quot;;[Red]#,##0&quot; kWh&quot;"/>
    <numFmt numFmtId="197" formatCode="#,##0&quot; kWh/t&quot;;[Red]#,##0&quot; kWh&quot;"/>
    <numFmt numFmtId="198" formatCode="#,##0.0&quot; mg/Nm3&quot;;[Red]#,##0.0&quot; kWh&quot;"/>
    <numFmt numFmtId="199" formatCode="#,##0.00&quot; mg/Nm3&quot;;[Red]#,##0.00&quot; kWh&quot;"/>
    <numFmt numFmtId="200" formatCode="#,##0.000&quot; mg/Nm3&quot;;[Red]#,##0.000&quot; kWh&quot;"/>
    <numFmt numFmtId="201" formatCode="#,##0.0&quot; km&quot;;[Red]#,##0.0&quot; km&quot;"/>
    <numFmt numFmtId="202" formatCode="#,##0.0&quot; Sm3&quot;;[Red]#,##0.0&quot; Sm3&quot;"/>
    <numFmt numFmtId="203" formatCode="#,##0&quot; kWh/t FM&quot;;[Red]#,##0&quot; kWh&quot;"/>
    <numFmt numFmtId="204" formatCode="#,##0&quot; kWh/Sm3&quot;;[Red]#,##0&quot; kWh&quot;"/>
    <numFmt numFmtId="205" formatCode="#,##0&quot; Sm3&quot;;[Red]#,##0&quot; Sm3&quot;"/>
    <numFmt numFmtId="206" formatCode="#,##0&quot; Nm3&quot;;[Red]#,##0&quot; Nm3&quot;"/>
    <numFmt numFmtId="207" formatCode="0.0000"/>
    <numFmt numFmtId="208" formatCode="#,##0&quot; t FM&quot;;[Red]#,##0&quot; t FM&quot;"/>
    <numFmt numFmtId="209" formatCode="#,##0&quot; kW&quot;;[Red]#,##0&quot; kW&quot;"/>
    <numFmt numFmtId="210" formatCode="#,##0&quot; $&quot;;[Red]\-#,##0&quot; $&quot;"/>
  </numFmts>
  <fonts count="39">
    <font>
      <sz val="10"/>
      <name val="Arial"/>
    </font>
    <font>
      <sz val="11"/>
      <color theme="1"/>
      <name val="Calibri"/>
      <family val="2"/>
      <scheme val="minor"/>
    </font>
    <font>
      <sz val="10"/>
      <name val="Arial"/>
      <family val="2"/>
    </font>
    <font>
      <b/>
      <sz val="10"/>
      <name val="Arial"/>
      <family val="2"/>
    </font>
    <font>
      <sz val="10"/>
      <name val="Arial"/>
      <family val="2"/>
    </font>
    <font>
      <sz val="9"/>
      <name val="Helvetica"/>
      <family val="2"/>
    </font>
    <font>
      <sz val="10"/>
      <color indexed="8"/>
      <name val="Arial"/>
      <family val="2"/>
    </font>
    <font>
      <b/>
      <sz val="16"/>
      <name val="Arial"/>
      <family val="2"/>
    </font>
    <font>
      <b/>
      <sz val="12"/>
      <name val="Arial"/>
      <family val="2"/>
    </font>
    <font>
      <sz val="8"/>
      <name val="Arial"/>
      <family val="2"/>
    </font>
    <font>
      <sz val="10"/>
      <name val="Helvetica"/>
      <family val="2"/>
    </font>
    <font>
      <u/>
      <sz val="10"/>
      <color indexed="12"/>
      <name val="Arial"/>
      <family val="2"/>
    </font>
    <font>
      <sz val="10"/>
      <name val="Helv"/>
    </font>
    <font>
      <b/>
      <sz val="20"/>
      <name val="Helvetica"/>
      <family val="2"/>
    </font>
    <font>
      <b/>
      <sz val="10"/>
      <name val="Helvetica"/>
      <family val="2"/>
    </font>
    <font>
      <sz val="11"/>
      <name val="Times New Roman"/>
      <family val="1"/>
    </font>
    <font>
      <b/>
      <sz val="14"/>
      <name val="Arial"/>
      <family val="2"/>
    </font>
    <font>
      <sz val="9"/>
      <name val="Times New Roman"/>
      <family val="1"/>
    </font>
    <font>
      <b/>
      <sz val="9"/>
      <name val="Times New Roman"/>
      <family val="1"/>
    </font>
    <font>
      <sz val="10"/>
      <color indexed="8"/>
      <name val="MS Sans Serif"/>
      <family val="2"/>
    </font>
    <font>
      <sz val="9"/>
      <name val="Helv"/>
    </font>
    <font>
      <sz val="9"/>
      <name val="Arial"/>
      <family val="2"/>
    </font>
    <font>
      <b/>
      <sz val="12"/>
      <name val="Times New Roman"/>
      <family val="1"/>
    </font>
    <font>
      <sz val="8"/>
      <name val="Helvetica"/>
      <family val="2"/>
    </font>
    <font>
      <u/>
      <sz val="10"/>
      <color indexed="12"/>
      <name val="Helvetica"/>
      <family val="2"/>
    </font>
    <font>
      <u/>
      <sz val="10"/>
      <name val="Arial"/>
      <family val="2"/>
    </font>
    <font>
      <strike/>
      <sz val="10"/>
      <name val="Arial"/>
      <family val="2"/>
    </font>
    <font>
      <sz val="7"/>
      <name val="Helv"/>
      <family val="2"/>
    </font>
    <font>
      <sz val="9"/>
      <name val="Helv"/>
      <family val="2"/>
    </font>
    <font>
      <sz val="10"/>
      <name val="Geneva"/>
    </font>
    <font>
      <sz val="10"/>
      <name val="Trebuchet MS"/>
      <family val="2"/>
    </font>
    <font>
      <vertAlign val="superscript"/>
      <sz val="9"/>
      <name val="Helvetica"/>
      <family val="2"/>
    </font>
    <font>
      <vertAlign val="superscript"/>
      <sz val="10"/>
      <name val="Arial"/>
      <family val="2"/>
    </font>
    <font>
      <vertAlign val="subscript"/>
      <sz val="10"/>
      <name val="Arial"/>
      <family val="2"/>
    </font>
    <font>
      <b/>
      <u/>
      <sz val="10"/>
      <color indexed="12"/>
      <name val="Arial"/>
      <family val="2"/>
    </font>
    <font>
      <sz val="11"/>
      <color indexed="8"/>
      <name val="Calibri"/>
      <family val="2"/>
    </font>
    <font>
      <sz val="11"/>
      <color theme="1"/>
      <name val="Tahoma"/>
      <family val="2"/>
    </font>
    <font>
      <sz val="9"/>
      <color indexed="81"/>
      <name val="Segoe UI"/>
      <family val="2"/>
    </font>
    <font>
      <b/>
      <sz val="9"/>
      <color indexed="81"/>
      <name val="Segoe UI"/>
      <family val="2"/>
    </font>
  </fonts>
  <fills count="19">
    <fill>
      <patternFill patternType="none"/>
    </fill>
    <fill>
      <patternFill patternType="gray125"/>
    </fill>
    <fill>
      <patternFill patternType="solid">
        <fgColor indexed="47"/>
        <bgColor indexed="64"/>
      </patternFill>
    </fill>
    <fill>
      <patternFill patternType="solid">
        <fgColor indexed="45"/>
        <bgColor indexed="64"/>
      </patternFill>
    </fill>
    <fill>
      <patternFill patternType="solid">
        <fgColor indexed="43"/>
        <bgColor indexed="64"/>
      </patternFill>
    </fill>
    <fill>
      <patternFill patternType="solid">
        <fgColor indexed="42"/>
        <bgColor indexed="64"/>
      </patternFill>
    </fill>
    <fill>
      <patternFill patternType="solid">
        <fgColor indexed="9"/>
        <bgColor indexed="64"/>
      </patternFill>
    </fill>
    <fill>
      <patternFill patternType="solid">
        <fgColor indexed="41"/>
        <bgColor indexed="64"/>
      </patternFill>
    </fill>
    <fill>
      <patternFill patternType="solid">
        <fgColor indexed="13"/>
        <bgColor indexed="64"/>
      </patternFill>
    </fill>
    <fill>
      <patternFill patternType="solid">
        <fgColor indexed="40"/>
        <bgColor indexed="64"/>
      </patternFill>
    </fill>
    <fill>
      <patternFill patternType="solid">
        <fgColor indexed="11"/>
        <bgColor indexed="64"/>
      </patternFill>
    </fill>
    <fill>
      <patternFill patternType="solid">
        <fgColor indexed="14"/>
        <bgColor indexed="64"/>
      </patternFill>
    </fill>
    <fill>
      <patternFill patternType="solid">
        <fgColor indexed="53"/>
        <bgColor indexed="64"/>
      </patternFill>
    </fill>
    <fill>
      <patternFill patternType="solid">
        <fgColor indexed="15"/>
        <bgColor indexed="64"/>
      </patternFill>
    </fill>
    <fill>
      <patternFill patternType="solid">
        <fgColor indexed="22"/>
        <bgColor indexed="64"/>
      </patternFill>
    </fill>
    <fill>
      <patternFill patternType="solid">
        <fgColor indexed="44"/>
        <bgColor indexed="64"/>
      </patternFill>
    </fill>
    <fill>
      <patternFill patternType="solid">
        <fgColor indexed="50"/>
        <bgColor indexed="64"/>
      </patternFill>
    </fill>
    <fill>
      <patternFill patternType="solid">
        <fgColor indexed="52"/>
        <bgColor indexed="64"/>
      </patternFill>
    </fill>
    <fill>
      <patternFill patternType="solid">
        <fgColor theme="3"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22"/>
      </left>
      <right style="thin">
        <color indexed="22"/>
      </right>
      <top style="thin">
        <color indexed="22"/>
      </top>
      <bottom style="thin">
        <color indexed="22"/>
      </bottom>
      <diagonal/>
    </border>
  </borders>
  <cellStyleXfs count="87">
    <xf numFmtId="0" fontId="0" fillId="0" borderId="0"/>
    <xf numFmtId="49" fontId="17" fillId="0" borderId="1" applyNumberFormat="0" applyFont="0" applyFill="0" applyBorder="0" applyProtection="0">
      <alignment horizontal="left" vertical="center" indent="2"/>
    </xf>
    <xf numFmtId="49" fontId="17" fillId="0" borderId="2" applyNumberFormat="0" applyFont="0" applyFill="0" applyBorder="0" applyProtection="0">
      <alignment horizontal="left" vertical="center" indent="5"/>
    </xf>
    <xf numFmtId="0" fontId="5" fillId="2" borderId="0">
      <alignment horizontal="left" vertical="center"/>
    </xf>
    <xf numFmtId="4" fontId="18" fillId="0" borderId="3" applyFill="0" applyBorder="0" applyProtection="0">
      <alignment horizontal="right" vertical="center"/>
    </xf>
    <xf numFmtId="190" fontId="4" fillId="0" borderId="0">
      <alignment vertical="center"/>
      <protection locked="0"/>
    </xf>
    <xf numFmtId="165" fontId="19" fillId="0" borderId="0" applyFont="0" applyFill="0" applyBorder="0" applyAlignment="0" applyProtection="0"/>
    <xf numFmtId="167" fontId="19" fillId="0" borderId="0" applyFont="0" applyFill="0" applyBorder="0" applyAlignment="0" applyProtection="0"/>
    <xf numFmtId="0" fontId="27" fillId="0" borderId="0">
      <alignment vertical="center"/>
    </xf>
    <xf numFmtId="164" fontId="19" fillId="0" borderId="0" applyFont="0" applyFill="0" applyBorder="0" applyAlignment="0" applyProtection="0"/>
    <xf numFmtId="166" fontId="19" fillId="0" borderId="0" applyFont="0" applyFill="0" applyBorder="0" applyAlignment="0" applyProtection="0"/>
    <xf numFmtId="43" fontId="2" fillId="0" borderId="0" applyFont="0" applyFill="0" applyBorder="0" applyAlignment="0" applyProtection="0"/>
    <xf numFmtId="180" fontId="20" fillId="0" borderId="0"/>
    <xf numFmtId="0" fontId="5" fillId="3" borderId="0">
      <alignment horizontal="center" vertical="center" wrapText="1"/>
    </xf>
    <xf numFmtId="188" fontId="28" fillId="4" borderId="0">
      <alignment horizontal="center" vertical="center"/>
    </xf>
    <xf numFmtId="0" fontId="21" fillId="0" borderId="0" applyFont="0" applyFill="0" applyBorder="0" applyAlignment="0" applyProtection="0">
      <alignment vertical="center"/>
    </xf>
    <xf numFmtId="0" fontId="22" fillId="0" borderId="0" applyNumberFormat="0" applyFill="0" applyBorder="0" applyAlignment="0" applyProtection="0"/>
    <xf numFmtId="0" fontId="11" fillId="0" borderId="0" applyNumberFormat="0" applyFill="0" applyBorder="0" applyAlignment="0" applyProtection="0">
      <alignment vertical="top"/>
      <protection locked="0"/>
    </xf>
    <xf numFmtId="181" fontId="4" fillId="0" borderId="0">
      <alignment vertical="center"/>
    </xf>
    <xf numFmtId="170" fontId="4" fillId="0" borderId="0">
      <alignment vertical="center"/>
      <protection locked="0"/>
    </xf>
    <xf numFmtId="171" fontId="4" fillId="0" borderId="0">
      <alignment vertical="center"/>
    </xf>
    <xf numFmtId="185" fontId="12" fillId="0" borderId="0"/>
    <xf numFmtId="0" fontId="5" fillId="4" borderId="0">
      <alignment horizontal="left" vertical="center"/>
    </xf>
    <xf numFmtId="184" fontId="12" fillId="0" borderId="0"/>
    <xf numFmtId="182" fontId="20" fillId="0" borderId="0"/>
    <xf numFmtId="169" fontId="4" fillId="0" borderId="0">
      <alignment vertical="center"/>
    </xf>
    <xf numFmtId="178" fontId="21" fillId="0" borderId="0">
      <alignment horizontal="center" vertical="center" wrapText="1"/>
    </xf>
    <xf numFmtId="186" fontId="20" fillId="0" borderId="0"/>
    <xf numFmtId="191" fontId="20" fillId="0" borderId="0"/>
    <xf numFmtId="4" fontId="17" fillId="0" borderId="1" applyFill="0" applyBorder="0" applyProtection="0">
      <alignment horizontal="right" vertical="center"/>
    </xf>
    <xf numFmtId="49" fontId="18" fillId="0" borderId="1" applyNumberFormat="0" applyFill="0" applyBorder="0" applyProtection="0">
      <alignment horizontal="left" vertical="center"/>
    </xf>
    <xf numFmtId="0" fontId="17" fillId="0" borderId="1" applyNumberFormat="0" applyFill="0" applyAlignment="0" applyProtection="0"/>
    <xf numFmtId="0" fontId="29" fillId="0" borderId="4" applyFont="0" applyFill="0" applyBorder="0" applyProtection="0">
      <alignment horizontal="center"/>
    </xf>
    <xf numFmtId="9" fontId="4" fillId="0" borderId="0" applyFont="0" applyFill="0" applyBorder="0" applyProtection="0">
      <alignment horizontal="center" vertical="center"/>
    </xf>
    <xf numFmtId="179" fontId="4" fillId="0" borderId="0"/>
    <xf numFmtId="168" fontId="2" fillId="5" borderId="0">
      <alignment horizontal="center" vertical="center"/>
    </xf>
    <xf numFmtId="202" fontId="4" fillId="0" borderId="0">
      <alignment vertical="center"/>
    </xf>
    <xf numFmtId="0" fontId="21" fillId="0" borderId="0">
      <alignment vertical="center"/>
    </xf>
    <xf numFmtId="0" fontId="2" fillId="0" borderId="0">
      <alignment vertical="center"/>
    </xf>
    <xf numFmtId="195" fontId="4" fillId="0" borderId="0">
      <alignment vertical="center"/>
    </xf>
    <xf numFmtId="187" fontId="5" fillId="0" borderId="0">
      <alignment vertical="center" wrapText="1"/>
    </xf>
    <xf numFmtId="0" fontId="30" fillId="6" borderId="0">
      <alignment vertical="center" wrapText="1"/>
    </xf>
    <xf numFmtId="193" fontId="4" fillId="2" borderId="0">
      <alignment horizontal="right" vertical="center"/>
    </xf>
    <xf numFmtId="187" fontId="23" fillId="0" borderId="0">
      <alignment horizontal="center" vertical="center"/>
    </xf>
    <xf numFmtId="0" fontId="5" fillId="7" borderId="0">
      <alignment horizontal="left" vertical="center"/>
    </xf>
    <xf numFmtId="11" fontId="20" fillId="0" borderId="0"/>
    <xf numFmtId="11" fontId="2" fillId="0" borderId="0">
      <alignment vertical="center" wrapText="1"/>
    </xf>
    <xf numFmtId="178" fontId="4" fillId="0" borderId="0">
      <alignment horizontal="center" vertical="center"/>
    </xf>
    <xf numFmtId="188" fontId="4" fillId="0" borderId="0">
      <alignment horizontal="center" vertical="center"/>
    </xf>
    <xf numFmtId="183" fontId="12" fillId="0" borderId="0"/>
    <xf numFmtId="190" fontId="2" fillId="0" borderId="0">
      <alignment vertical="center"/>
      <protection locked="0"/>
    </xf>
    <xf numFmtId="181" fontId="2" fillId="0" borderId="0"/>
    <xf numFmtId="170" fontId="2" fillId="0" borderId="0">
      <alignment vertical="center"/>
      <protection locked="0"/>
    </xf>
    <xf numFmtId="171" fontId="2" fillId="0" borderId="0">
      <alignment vertical="center"/>
    </xf>
    <xf numFmtId="169" fontId="2" fillId="0" borderId="0">
      <alignment vertical="center"/>
    </xf>
    <xf numFmtId="9" fontId="2" fillId="0" borderId="0" applyFont="0" applyFill="0" applyBorder="0" applyAlignment="0" applyProtection="0"/>
    <xf numFmtId="179" fontId="2" fillId="0" borderId="0"/>
    <xf numFmtId="208" fontId="2" fillId="0" borderId="0">
      <alignment vertical="center"/>
      <protection locked="0"/>
    </xf>
    <xf numFmtId="193" fontId="2" fillId="2" borderId="0">
      <alignment horizontal="right" vertical="center"/>
    </xf>
    <xf numFmtId="178" fontId="2" fillId="0" borderId="0">
      <alignment horizontal="center" vertical="center"/>
    </xf>
    <xf numFmtId="188" fontId="2" fillId="0" borderId="0">
      <alignment horizontal="center" vertical="center"/>
    </xf>
    <xf numFmtId="0" fontId="35" fillId="0" borderId="0"/>
    <xf numFmtId="9" fontId="2" fillId="0" borderId="0" applyFont="0" applyFill="0" applyBorder="0" applyProtection="0">
      <alignment horizontal="center" vertical="center"/>
    </xf>
    <xf numFmtId="171" fontId="2" fillId="0" borderId="0">
      <alignment vertical="center"/>
    </xf>
    <xf numFmtId="190" fontId="2" fillId="0" borderId="0">
      <alignment vertical="center"/>
      <protection locked="0"/>
    </xf>
    <xf numFmtId="209" fontId="2" fillId="0" borderId="0">
      <alignment vertical="center"/>
      <protection locked="0"/>
    </xf>
    <xf numFmtId="208" fontId="2" fillId="0" borderId="0">
      <alignment vertical="center"/>
      <protection locked="0"/>
    </xf>
    <xf numFmtId="43" fontId="2" fillId="0" borderId="0" applyFont="0" applyFill="0" applyBorder="0" applyAlignment="0" applyProtection="0"/>
    <xf numFmtId="0" fontId="11" fillId="0" borderId="0" applyNumberFormat="0" applyFill="0" applyBorder="0" applyAlignment="0" applyProtection="0">
      <alignment vertical="top"/>
      <protection locked="0"/>
    </xf>
    <xf numFmtId="181" fontId="2" fillId="0" borderId="0"/>
    <xf numFmtId="170" fontId="2" fillId="0" borderId="0">
      <alignment vertical="center"/>
      <protection locked="0"/>
    </xf>
    <xf numFmtId="169" fontId="2" fillId="0" borderId="0">
      <alignment vertical="center"/>
    </xf>
    <xf numFmtId="9" fontId="2" fillId="0" borderId="0" applyFont="0" applyFill="0" applyBorder="0" applyAlignment="0" applyProtection="0"/>
    <xf numFmtId="179" fontId="2" fillId="0" borderId="0"/>
    <xf numFmtId="168" fontId="2" fillId="5" borderId="0">
      <alignment horizontal="center" vertical="center"/>
    </xf>
    <xf numFmtId="193" fontId="2" fillId="2" borderId="0">
      <alignment horizontal="right" vertical="center"/>
    </xf>
    <xf numFmtId="11" fontId="2" fillId="0" borderId="0">
      <alignment vertical="center" wrapText="1"/>
    </xf>
    <xf numFmtId="178" fontId="2" fillId="0" borderId="0">
      <alignment horizontal="center" vertical="center"/>
    </xf>
    <xf numFmtId="188" fontId="2" fillId="0" borderId="0">
      <alignment horizontal="center" vertical="center"/>
    </xf>
    <xf numFmtId="0" fontId="5" fillId="0" borderId="0">
      <alignment vertical="center"/>
    </xf>
    <xf numFmtId="43" fontId="2" fillId="0" borderId="0" applyFont="0" applyFill="0" applyBorder="0" applyAlignment="0" applyProtection="0"/>
    <xf numFmtId="9" fontId="2" fillId="0" borderId="0" applyFont="0" applyFill="0" applyBorder="0" applyAlignment="0" applyProtection="0"/>
    <xf numFmtId="0" fontId="19" fillId="0" borderId="0"/>
    <xf numFmtId="11" fontId="29" fillId="0" borderId="0" applyFont="0" applyFill="0" applyBorder="0" applyAlignment="0" applyProtection="0"/>
    <xf numFmtId="210" fontId="2" fillId="2" borderId="0">
      <alignment vertical="center"/>
    </xf>
    <xf numFmtId="0" fontId="36" fillId="0" borderId="0"/>
    <xf numFmtId="0" fontId="1" fillId="0" borderId="0"/>
  </cellStyleXfs>
  <cellXfs count="213">
    <xf numFmtId="0" fontId="0" fillId="0" borderId="0" xfId="0"/>
    <xf numFmtId="0" fontId="0" fillId="8" borderId="0" xfId="0" applyFill="1"/>
    <xf numFmtId="0" fontId="0" fillId="8" borderId="0" xfId="0" applyFill="1" applyAlignment="1">
      <alignment horizontal="center"/>
    </xf>
    <xf numFmtId="0" fontId="0" fillId="0" borderId="0" xfId="0" applyAlignment="1">
      <alignment wrapText="1"/>
    </xf>
    <xf numFmtId="11" fontId="0" fillId="0" borderId="0" xfId="0" applyNumberFormat="1"/>
    <xf numFmtId="0" fontId="3" fillId="0" borderId="0" xfId="0" applyFont="1" applyAlignment="1">
      <alignment vertical="center" wrapText="1"/>
    </xf>
    <xf numFmtId="0" fontId="3" fillId="0" borderId="0" xfId="0" applyFont="1"/>
    <xf numFmtId="0" fontId="0" fillId="0" borderId="0" xfId="0" applyAlignment="1">
      <alignment vertical="center" wrapText="1"/>
    </xf>
    <xf numFmtId="0" fontId="3" fillId="0" borderId="0" xfId="0" applyFont="1" applyFill="1" applyAlignment="1">
      <alignment vertical="center"/>
    </xf>
    <xf numFmtId="0" fontId="0" fillId="0" borderId="0" xfId="0" applyFill="1" applyAlignment="1">
      <alignment vertical="center"/>
    </xf>
    <xf numFmtId="0" fontId="10" fillId="6" borderId="0" xfId="0" applyFont="1" applyFill="1"/>
    <xf numFmtId="0" fontId="14" fillId="6" borderId="0" xfId="0" applyFont="1" applyFill="1" applyAlignment="1">
      <alignment vertical="center" wrapText="1"/>
    </xf>
    <xf numFmtId="0" fontId="10" fillId="6" borderId="0" xfId="0" applyFont="1" applyFill="1" applyAlignment="1">
      <alignment vertical="center" wrapText="1"/>
    </xf>
    <xf numFmtId="1" fontId="0" fillId="8" borderId="0" xfId="0" applyNumberFormat="1" applyFill="1"/>
    <xf numFmtId="175" fontId="0" fillId="8" borderId="0" xfId="11" applyNumberFormat="1" applyFont="1" applyFill="1" applyAlignment="1">
      <alignment horizontal="center"/>
    </xf>
    <xf numFmtId="175" fontId="0" fillId="8" borderId="0" xfId="11" applyNumberFormat="1" applyFont="1" applyFill="1"/>
    <xf numFmtId="0" fontId="8" fillId="2" borderId="0" xfId="0" applyFont="1" applyFill="1" applyBorder="1" applyAlignment="1" applyProtection="1">
      <alignment vertical="center"/>
    </xf>
    <xf numFmtId="175" fontId="3" fillId="2" borderId="0" xfId="11" applyNumberFormat="1" applyFont="1" applyFill="1" applyBorder="1" applyAlignment="1" applyProtection="1">
      <alignment vertical="center"/>
    </xf>
    <xf numFmtId="0" fontId="4" fillId="0" borderId="0" xfId="0" applyFont="1"/>
    <xf numFmtId="0" fontId="4" fillId="2" borderId="0" xfId="0" applyFont="1" applyFill="1" applyAlignment="1">
      <alignment vertical="center"/>
    </xf>
    <xf numFmtId="175" fontId="4" fillId="2" borderId="0" xfId="11" applyNumberFormat="1" applyFont="1" applyFill="1" applyBorder="1" applyAlignment="1" applyProtection="1">
      <alignment vertical="center"/>
    </xf>
    <xf numFmtId="0" fontId="4" fillId="0" borderId="0" xfId="0" applyFont="1" applyAlignment="1" applyProtection="1">
      <alignment vertical="center"/>
    </xf>
    <xf numFmtId="0" fontId="4" fillId="2" borderId="0" xfId="0" applyFont="1" applyFill="1" applyBorder="1" applyAlignment="1" applyProtection="1">
      <alignment horizontal="center" vertical="center"/>
    </xf>
    <xf numFmtId="0" fontId="4" fillId="2" borderId="0" xfId="0" applyFont="1" applyFill="1" applyBorder="1" applyAlignment="1" applyProtection="1">
      <alignment vertical="center"/>
    </xf>
    <xf numFmtId="11" fontId="4" fillId="2" borderId="0" xfId="0" applyNumberFormat="1" applyFont="1" applyFill="1" applyBorder="1" applyAlignment="1" applyProtection="1">
      <alignment vertical="center"/>
    </xf>
    <xf numFmtId="0" fontId="4" fillId="5" borderId="0" xfId="0" applyFont="1" applyFill="1" applyBorder="1" applyAlignment="1" applyProtection="1">
      <alignment horizontal="center" vertical="center"/>
    </xf>
    <xf numFmtId="0" fontId="0" fillId="4" borderId="0" xfId="0" applyFill="1"/>
    <xf numFmtId="0" fontId="0" fillId="7" borderId="0" xfId="0" applyFill="1"/>
    <xf numFmtId="14" fontId="4" fillId="0" borderId="0" xfId="0" applyNumberFormat="1" applyFont="1" applyFill="1" applyBorder="1" applyAlignment="1" applyProtection="1">
      <alignment horizontal="right" vertical="center"/>
    </xf>
    <xf numFmtId="0" fontId="4" fillId="5" borderId="0" xfId="0" applyFont="1" applyFill="1" applyAlignment="1">
      <alignment vertical="center" wrapText="1"/>
    </xf>
    <xf numFmtId="0" fontId="10" fillId="0" borderId="0" xfId="0" applyFont="1" applyAlignment="1">
      <alignment vertical="center" wrapText="1"/>
    </xf>
    <xf numFmtId="0" fontId="14" fillId="0" borderId="0" xfId="0" applyFont="1" applyAlignment="1">
      <alignment wrapText="1"/>
    </xf>
    <xf numFmtId="0" fontId="10" fillId="0" borderId="0" xfId="0" applyFont="1" applyAlignment="1">
      <alignment horizontal="justify" vertical="center" wrapText="1"/>
    </xf>
    <xf numFmtId="0" fontId="14" fillId="6" borderId="0" xfId="0" applyFont="1" applyFill="1" applyAlignment="1">
      <alignment wrapText="1"/>
    </xf>
    <xf numFmtId="0" fontId="15" fillId="0" borderId="0" xfId="0" applyFont="1" applyAlignment="1">
      <alignment horizontal="justify" vertical="center" wrapText="1"/>
    </xf>
    <xf numFmtId="0" fontId="26" fillId="0" borderId="0" xfId="0" applyFont="1"/>
    <xf numFmtId="171" fontId="4" fillId="2" borderId="0" xfId="0" applyNumberFormat="1" applyFont="1" applyFill="1" applyBorder="1" applyAlignment="1" applyProtection="1">
      <alignment horizontal="center" vertical="center"/>
    </xf>
    <xf numFmtId="11" fontId="0" fillId="8" borderId="0" xfId="0" applyNumberFormat="1" applyFill="1"/>
    <xf numFmtId="43" fontId="0" fillId="8" borderId="0" xfId="11" applyFont="1" applyFill="1"/>
    <xf numFmtId="175" fontId="0" fillId="8" borderId="0" xfId="0" applyNumberFormat="1" applyFill="1"/>
    <xf numFmtId="0" fontId="10" fillId="7" borderId="0" xfId="0" applyFont="1" applyFill="1" applyAlignment="1">
      <alignment horizontal="justify" vertical="center" wrapText="1"/>
    </xf>
    <xf numFmtId="0" fontId="0" fillId="9" borderId="0" xfId="0" applyFill="1" applyAlignment="1">
      <alignment horizontal="center"/>
    </xf>
    <xf numFmtId="0" fontId="0" fillId="10" borderId="0" xfId="0" applyFill="1" applyAlignment="1">
      <alignment horizontal="center"/>
    </xf>
    <xf numFmtId="0" fontId="0" fillId="11" borderId="0" xfId="0" applyFill="1" applyAlignment="1">
      <alignment horizontal="center"/>
    </xf>
    <xf numFmtId="11" fontId="2" fillId="7" borderId="0" xfId="46" applyFill="1">
      <alignment vertical="center" wrapText="1"/>
    </xf>
    <xf numFmtId="9" fontId="4" fillId="2" borderId="0" xfId="33" applyFont="1" applyFill="1" applyBorder="1" applyAlignment="1" applyProtection="1">
      <alignment horizontal="center" vertical="center"/>
    </xf>
    <xf numFmtId="0" fontId="0" fillId="12" borderId="0" xfId="0" applyFill="1" applyAlignment="1">
      <alignment horizontal="center"/>
    </xf>
    <xf numFmtId="194" fontId="2" fillId="7" borderId="0" xfId="46" applyNumberFormat="1" applyFill="1">
      <alignment vertical="center" wrapText="1"/>
    </xf>
    <xf numFmtId="175" fontId="3" fillId="3" borderId="0" xfId="11" applyNumberFormat="1" applyFont="1" applyFill="1" applyBorder="1" applyAlignment="1" applyProtection="1">
      <alignment vertical="center"/>
    </xf>
    <xf numFmtId="175" fontId="4" fillId="3" borderId="0" xfId="11" applyNumberFormat="1" applyFont="1" applyFill="1" applyBorder="1" applyAlignment="1" applyProtection="1">
      <alignment vertical="center"/>
    </xf>
    <xf numFmtId="175" fontId="4" fillId="0" borderId="0" xfId="11" applyNumberFormat="1" applyFont="1" applyAlignment="1" applyProtection="1">
      <alignment vertical="center"/>
    </xf>
    <xf numFmtId="174" fontId="0" fillId="8" borderId="0" xfId="11" applyNumberFormat="1" applyFont="1" applyFill="1"/>
    <xf numFmtId="0" fontId="3" fillId="2" borderId="0" xfId="0" applyFont="1" applyFill="1" applyBorder="1" applyAlignment="1" applyProtection="1">
      <alignment vertical="center"/>
    </xf>
    <xf numFmtId="0" fontId="3" fillId="0" borderId="0" xfId="0" applyFont="1" applyFill="1" applyBorder="1" applyAlignment="1" applyProtection="1">
      <alignment horizontal="left" vertical="center"/>
      <protection locked="0"/>
    </xf>
    <xf numFmtId="0" fontId="4" fillId="2" borderId="0" xfId="0" applyFont="1" applyFill="1" applyAlignment="1" applyProtection="1">
      <alignment vertical="center"/>
    </xf>
    <xf numFmtId="0" fontId="4" fillId="2" borderId="0" xfId="0" quotePrefix="1" applyFont="1" applyFill="1" applyAlignment="1" applyProtection="1">
      <alignment vertical="center"/>
    </xf>
    <xf numFmtId="0" fontId="11" fillId="0" borderId="0" xfId="17" applyAlignment="1" applyProtection="1"/>
    <xf numFmtId="0" fontId="7" fillId="2" borderId="0" xfId="0" applyFont="1" applyFill="1" applyAlignment="1" applyProtection="1">
      <alignment vertical="center"/>
    </xf>
    <xf numFmtId="0" fontId="3" fillId="2" borderId="0" xfId="0" applyFont="1" applyFill="1" applyAlignment="1" applyProtection="1">
      <alignment vertical="center"/>
    </xf>
    <xf numFmtId="190" fontId="4" fillId="2" borderId="0" xfId="5" applyFont="1" applyFill="1" applyProtection="1">
      <alignment vertical="center"/>
    </xf>
    <xf numFmtId="195" fontId="25" fillId="2" borderId="0" xfId="39" applyFont="1" applyFill="1" applyProtection="1">
      <alignment vertical="center"/>
    </xf>
    <xf numFmtId="190" fontId="25" fillId="2" borderId="0" xfId="5" applyFont="1" applyFill="1" applyAlignment="1" applyProtection="1">
      <alignment vertical="center"/>
    </xf>
    <xf numFmtId="169" fontId="4" fillId="2" borderId="0" xfId="25" applyFont="1" applyFill="1" applyProtection="1">
      <alignment vertical="center"/>
    </xf>
    <xf numFmtId="171" fontId="4" fillId="2" borderId="0" xfId="20" applyFont="1" applyFill="1" applyAlignment="1" applyProtection="1">
      <alignment vertical="center"/>
    </xf>
    <xf numFmtId="0" fontId="4" fillId="5" borderId="0" xfId="0" applyFont="1" applyFill="1" applyAlignment="1" applyProtection="1">
      <alignment vertical="center"/>
    </xf>
    <xf numFmtId="171" fontId="4" fillId="0" borderId="0" xfId="20" applyFont="1" applyProtection="1">
      <alignment vertical="center"/>
      <protection locked="0"/>
    </xf>
    <xf numFmtId="171" fontId="4" fillId="0" borderId="0" xfId="20" applyFont="1" applyAlignment="1" applyProtection="1">
      <alignment vertical="center"/>
      <protection locked="0"/>
    </xf>
    <xf numFmtId="9" fontId="4" fillId="0" borderId="0" xfId="33" applyFont="1" applyAlignment="1" applyProtection="1">
      <alignment horizontal="center" vertical="center"/>
      <protection locked="0"/>
    </xf>
    <xf numFmtId="170" fontId="4" fillId="0" borderId="0" xfId="19" applyFont="1" applyProtection="1">
      <alignment vertical="center"/>
      <protection locked="0"/>
    </xf>
    <xf numFmtId="169" fontId="4" fillId="0" borderId="0" xfId="25" applyFont="1" applyFill="1" applyProtection="1">
      <alignment vertical="center"/>
    </xf>
    <xf numFmtId="0" fontId="4" fillId="0" borderId="0" xfId="0" applyFont="1" applyProtection="1"/>
    <xf numFmtId="0" fontId="4" fillId="0" borderId="0" xfId="0" applyFont="1" applyAlignment="1" applyProtection="1">
      <alignment horizontal="center"/>
    </xf>
    <xf numFmtId="0" fontId="16" fillId="4" borderId="0" xfId="0" applyFont="1" applyFill="1" applyAlignment="1" applyProtection="1">
      <alignment horizontal="left" vertical="center"/>
    </xf>
    <xf numFmtId="0" fontId="4" fillId="4" borderId="0" xfId="0" applyFont="1" applyFill="1" applyProtection="1"/>
    <xf numFmtId="0" fontId="4" fillId="4" borderId="0" xfId="0" applyFont="1" applyFill="1" applyAlignment="1" applyProtection="1">
      <alignment horizontal="center" wrapText="1"/>
    </xf>
    <xf numFmtId="0" fontId="4" fillId="4" borderId="0" xfId="0" applyFont="1" applyFill="1" applyAlignment="1" applyProtection="1">
      <alignment horizontal="center"/>
    </xf>
    <xf numFmtId="0" fontId="4" fillId="2" borderId="0" xfId="0" applyFont="1" applyFill="1" applyAlignment="1" applyProtection="1">
      <alignment horizontal="center" vertical="center" wrapText="1"/>
    </xf>
    <xf numFmtId="9" fontId="3" fillId="4" borderId="0" xfId="33" applyFont="1" applyFill="1" applyProtection="1">
      <alignment horizontal="center" vertical="center"/>
    </xf>
    <xf numFmtId="0" fontId="4" fillId="2" borderId="0" xfId="0" applyFont="1" applyFill="1" applyAlignment="1" applyProtection="1">
      <alignment horizontal="center" vertical="center"/>
    </xf>
    <xf numFmtId="0" fontId="4" fillId="4" borderId="0" xfId="0" applyFont="1" applyFill="1" applyAlignment="1" applyProtection="1">
      <alignment vertical="center"/>
    </xf>
    <xf numFmtId="0" fontId="4" fillId="4" borderId="0" xfId="0" applyFont="1" applyFill="1" applyAlignment="1" applyProtection="1">
      <alignment horizontal="center" vertical="center"/>
    </xf>
    <xf numFmtId="9" fontId="4" fillId="4" borderId="0" xfId="33" applyFont="1" applyFill="1" applyProtection="1">
      <alignment horizontal="center" vertical="center"/>
    </xf>
    <xf numFmtId="0" fontId="3" fillId="4" borderId="0" xfId="0" applyFont="1" applyFill="1" applyAlignment="1" applyProtection="1">
      <alignment vertical="center"/>
    </xf>
    <xf numFmtId="0" fontId="4" fillId="0" borderId="0" xfId="0" applyFont="1" applyFill="1" applyProtection="1"/>
    <xf numFmtId="0" fontId="3" fillId="0" borderId="0" xfId="0" applyFont="1" applyFill="1" applyAlignment="1" applyProtection="1">
      <alignment vertical="center"/>
    </xf>
    <xf numFmtId="9" fontId="3" fillId="0" borderId="0" xfId="33" applyFont="1" applyFill="1" applyAlignment="1" applyProtection="1">
      <alignment horizontal="center"/>
    </xf>
    <xf numFmtId="9" fontId="3" fillId="0" borderId="0" xfId="33" applyFont="1" applyFill="1" applyProtection="1">
      <alignment horizontal="center" vertical="center"/>
    </xf>
    <xf numFmtId="0" fontId="3" fillId="3" borderId="0" xfId="0" applyFont="1" applyFill="1" applyAlignment="1" applyProtection="1">
      <alignment vertical="center"/>
    </xf>
    <xf numFmtId="0" fontId="4" fillId="3" borderId="0" xfId="0" applyFont="1" applyFill="1" applyAlignment="1" applyProtection="1">
      <alignment horizontal="center" vertical="center"/>
    </xf>
    <xf numFmtId="9" fontId="3" fillId="3" borderId="0" xfId="33" applyFont="1" applyFill="1" applyAlignment="1" applyProtection="1">
      <alignment horizontal="center"/>
    </xf>
    <xf numFmtId="9" fontId="3" fillId="3" borderId="0" xfId="33" applyFont="1" applyFill="1" applyProtection="1">
      <alignment horizontal="center" vertical="center"/>
    </xf>
    <xf numFmtId="0" fontId="3" fillId="5" borderId="5" xfId="0" applyFont="1" applyFill="1" applyBorder="1" applyAlignment="1" applyProtection="1">
      <alignment horizontal="center" vertical="center"/>
    </xf>
    <xf numFmtId="0" fontId="0" fillId="5" borderId="5" xfId="0" applyFill="1" applyBorder="1" applyAlignment="1" applyProtection="1">
      <alignment horizontal="center" vertical="center"/>
    </xf>
    <xf numFmtId="0" fontId="0" fillId="5" borderId="6" xfId="0" applyFill="1" applyBorder="1" applyAlignment="1" applyProtection="1">
      <alignment horizontal="right" vertical="center"/>
    </xf>
    <xf numFmtId="0" fontId="4" fillId="5" borderId="7" xfId="0" applyFont="1" applyFill="1" applyBorder="1" applyAlignment="1" applyProtection="1">
      <alignment horizontal="center" vertical="center"/>
    </xf>
    <xf numFmtId="0" fontId="4" fillId="3" borderId="0" xfId="0" applyFont="1" applyFill="1" applyAlignment="1" applyProtection="1">
      <alignment vertical="center"/>
    </xf>
    <xf numFmtId="171" fontId="4" fillId="3" borderId="0" xfId="20" applyFont="1" applyFill="1" applyAlignment="1" applyProtection="1">
      <alignment vertical="center"/>
    </xf>
    <xf numFmtId="9" fontId="4" fillId="3" borderId="0" xfId="33" applyFont="1" applyFill="1" applyProtection="1">
      <alignment horizontal="center" vertical="center"/>
    </xf>
    <xf numFmtId="177" fontId="4" fillId="5" borderId="0" xfId="0" applyNumberFormat="1" applyFont="1" applyFill="1" applyBorder="1" applyAlignment="1" applyProtection="1"/>
    <xf numFmtId="176" fontId="4" fillId="5" borderId="0" xfId="0" applyNumberFormat="1" applyFont="1" applyFill="1" applyBorder="1" applyAlignment="1" applyProtection="1"/>
    <xf numFmtId="175" fontId="4" fillId="5" borderId="7" xfId="0" applyNumberFormat="1" applyFont="1" applyFill="1" applyBorder="1" applyAlignment="1" applyProtection="1"/>
    <xf numFmtId="177" fontId="4" fillId="5" borderId="8" xfId="0" applyNumberFormat="1" applyFont="1" applyFill="1" applyBorder="1" applyAlignment="1" applyProtection="1"/>
    <xf numFmtId="176" fontId="4" fillId="5" borderId="8" xfId="0" applyNumberFormat="1" applyFont="1" applyFill="1" applyBorder="1" applyAlignment="1" applyProtection="1"/>
    <xf numFmtId="175" fontId="4" fillId="5" borderId="9" xfId="0" applyNumberFormat="1" applyFont="1" applyFill="1" applyBorder="1" applyAlignment="1" applyProtection="1"/>
    <xf numFmtId="190" fontId="4" fillId="3" borderId="0" xfId="5" applyFill="1" applyProtection="1">
      <alignment vertical="center"/>
    </xf>
    <xf numFmtId="177" fontId="4" fillId="0" borderId="0" xfId="0" applyNumberFormat="1" applyFont="1" applyFill="1" applyProtection="1"/>
    <xf numFmtId="195" fontId="4" fillId="3" borderId="0" xfId="39" applyFill="1" applyProtection="1">
      <alignment vertical="center"/>
    </xf>
    <xf numFmtId="171" fontId="4" fillId="2" borderId="0" xfId="20" applyFont="1" applyFill="1" applyAlignment="1" applyProtection="1">
      <alignment vertical="center"/>
      <protection locked="0"/>
    </xf>
    <xf numFmtId="171" fontId="3" fillId="2" borderId="0" xfId="20" applyFont="1" applyFill="1" applyProtection="1">
      <alignment vertical="center"/>
    </xf>
    <xf numFmtId="9" fontId="4" fillId="2" borderId="0" xfId="33" applyFont="1" applyFill="1" applyBorder="1" applyAlignment="1" applyProtection="1">
      <alignment horizontal="right" vertical="center"/>
    </xf>
    <xf numFmtId="192" fontId="0" fillId="8" borderId="0" xfId="0" applyNumberFormat="1" applyFill="1"/>
    <xf numFmtId="192" fontId="0" fillId="0" borderId="0" xfId="0" applyNumberFormat="1"/>
    <xf numFmtId="0" fontId="4" fillId="2" borderId="0" xfId="0" applyFont="1" applyFill="1" applyBorder="1" applyAlignment="1" applyProtection="1">
      <alignment horizontal="center" vertical="center" wrapText="1"/>
    </xf>
    <xf numFmtId="9" fontId="4" fillId="2" borderId="0" xfId="33" applyFont="1" applyFill="1" applyAlignment="1" applyProtection="1">
      <alignment horizontal="center" vertical="center"/>
    </xf>
    <xf numFmtId="0" fontId="9" fillId="2" borderId="0" xfId="0" applyFont="1" applyFill="1" applyBorder="1" applyAlignment="1" applyProtection="1">
      <alignment horizontal="center" vertical="center" wrapText="1"/>
    </xf>
    <xf numFmtId="171" fontId="4" fillId="2" borderId="0" xfId="20" applyFill="1">
      <alignment vertical="center"/>
    </xf>
    <xf numFmtId="195" fontId="4" fillId="0" borderId="0" xfId="18" applyNumberFormat="1">
      <alignment vertical="center"/>
    </xf>
    <xf numFmtId="195" fontId="4" fillId="2" borderId="0" xfId="39" applyNumberFormat="1" applyFill="1">
      <alignment vertical="center"/>
    </xf>
    <xf numFmtId="197" fontId="4" fillId="2" borderId="0" xfId="20" applyNumberFormat="1" applyFill="1">
      <alignment vertical="center"/>
    </xf>
    <xf numFmtId="0" fontId="4" fillId="14" borderId="0" xfId="0" applyFont="1" applyFill="1" applyAlignment="1" applyProtection="1">
      <alignment vertical="center"/>
    </xf>
    <xf numFmtId="178" fontId="5" fillId="2" borderId="0" xfId="0" applyNumberFormat="1" applyFont="1" applyFill="1" applyAlignment="1">
      <alignment horizontal="center" vertical="center"/>
    </xf>
    <xf numFmtId="2" fontId="12" fillId="0" borderId="0" xfId="0" applyNumberFormat="1" applyFont="1"/>
    <xf numFmtId="178" fontId="5" fillId="0" borderId="1" xfId="0" applyNumberFormat="1" applyFont="1" applyBorder="1" applyAlignment="1">
      <alignment horizontal="center" vertical="center"/>
    </xf>
    <xf numFmtId="1" fontId="0" fillId="5" borderId="0" xfId="0" applyNumberFormat="1" applyFill="1"/>
    <xf numFmtId="2" fontId="0" fillId="5" borderId="0" xfId="0" applyNumberFormat="1" applyFill="1"/>
    <xf numFmtId="172" fontId="0" fillId="5" borderId="0" xfId="0" applyNumberFormat="1" applyFill="1"/>
    <xf numFmtId="178" fontId="5" fillId="7" borderId="0" xfId="0" applyNumberFormat="1" applyFont="1" applyFill="1" applyAlignment="1">
      <alignment horizontal="center" vertical="center"/>
    </xf>
    <xf numFmtId="196" fontId="4" fillId="0" borderId="0" xfId="0" applyNumberFormat="1" applyFont="1" applyAlignment="1" applyProtection="1">
      <alignment vertical="center"/>
      <protection locked="0"/>
    </xf>
    <xf numFmtId="199" fontId="4" fillId="0" borderId="0" xfId="0" applyNumberFormat="1" applyFont="1" applyAlignment="1" applyProtection="1">
      <alignment vertical="center"/>
      <protection locked="0"/>
    </xf>
    <xf numFmtId="9" fontId="4" fillId="0" borderId="0" xfId="0" applyNumberFormat="1" applyFont="1" applyAlignment="1" applyProtection="1">
      <alignment vertical="center"/>
    </xf>
    <xf numFmtId="196" fontId="4" fillId="2" borderId="0" xfId="0" applyNumberFormat="1" applyFont="1" applyFill="1" applyAlignment="1" applyProtection="1">
      <alignment vertical="center"/>
      <protection locked="0"/>
    </xf>
    <xf numFmtId="0" fontId="4" fillId="10" borderId="0" xfId="0" applyFont="1" applyFill="1" applyAlignment="1" applyProtection="1">
      <alignment vertical="center"/>
    </xf>
    <xf numFmtId="0" fontId="3" fillId="15" borderId="0" xfId="0" applyFont="1" applyFill="1" applyAlignment="1" applyProtection="1">
      <alignment vertical="center"/>
    </xf>
    <xf numFmtId="0" fontId="4" fillId="15" borderId="0" xfId="0" applyFont="1" applyFill="1" applyAlignment="1" applyProtection="1">
      <alignment vertical="center"/>
    </xf>
    <xf numFmtId="0" fontId="3" fillId="16" borderId="0" xfId="0" applyFont="1" applyFill="1" applyAlignment="1" applyProtection="1">
      <alignment vertical="center"/>
    </xf>
    <xf numFmtId="0" fontId="4" fillId="16" borderId="0" xfId="0" applyFont="1" applyFill="1" applyAlignment="1" applyProtection="1">
      <alignment vertical="center"/>
    </xf>
    <xf numFmtId="0" fontId="4" fillId="17" borderId="0" xfId="0" applyFont="1" applyFill="1" applyAlignment="1" applyProtection="1">
      <alignment vertical="center"/>
    </xf>
    <xf numFmtId="0" fontId="13" fillId="6" borderId="0" xfId="0" applyFont="1" applyFill="1" applyAlignment="1">
      <alignment horizontal="center" vertical="center" wrapText="1"/>
    </xf>
    <xf numFmtId="193" fontId="4" fillId="13" borderId="0" xfId="42" applyFont="1" applyFill="1" applyProtection="1">
      <alignment horizontal="right" vertical="center"/>
    </xf>
    <xf numFmtId="0" fontId="3" fillId="2" borderId="0" xfId="0" applyFont="1" applyFill="1" applyAlignment="1" applyProtection="1">
      <alignment horizontal="left" vertical="center"/>
    </xf>
    <xf numFmtId="0" fontId="3" fillId="2" borderId="0" xfId="0" applyFont="1" applyFill="1" applyBorder="1" applyAlignment="1" applyProtection="1">
      <alignment horizontal="left" vertical="center"/>
    </xf>
    <xf numFmtId="11" fontId="4" fillId="2" borderId="0" xfId="0" applyNumberFormat="1" applyFont="1" applyFill="1" applyBorder="1" applyAlignment="1" applyProtection="1">
      <alignment horizontal="center" vertical="center" wrapText="1"/>
    </xf>
    <xf numFmtId="201" fontId="4" fillId="0" borderId="0" xfId="19" applyNumberFormat="1" applyFont="1" applyProtection="1">
      <alignment vertical="center"/>
      <protection locked="0"/>
    </xf>
    <xf numFmtId="200" fontId="4" fillId="0" borderId="0" xfId="0" applyNumberFormat="1" applyFont="1" applyAlignment="1" applyProtection="1">
      <alignment vertical="center"/>
      <protection locked="0"/>
    </xf>
    <xf numFmtId="198" fontId="4" fillId="2" borderId="0" xfId="0" applyNumberFormat="1" applyFont="1" applyFill="1" applyAlignment="1" applyProtection="1">
      <alignment vertical="center"/>
      <protection locked="0"/>
    </xf>
    <xf numFmtId="178" fontId="5" fillId="0" borderId="0" xfId="0" applyNumberFormat="1" applyFont="1" applyBorder="1" applyAlignment="1">
      <alignment horizontal="center" vertical="center"/>
    </xf>
    <xf numFmtId="9" fontId="0" fillId="8" borderId="0" xfId="33" applyFont="1" applyFill="1">
      <alignment horizontal="center" vertical="center"/>
    </xf>
    <xf numFmtId="0" fontId="0" fillId="0" borderId="10" xfId="0" applyBorder="1" applyAlignment="1">
      <alignment wrapText="1"/>
    </xf>
    <xf numFmtId="0" fontId="0" fillId="0" borderId="1" xfId="0" applyBorder="1" applyAlignment="1">
      <alignment wrapText="1"/>
    </xf>
    <xf numFmtId="0" fontId="0" fillId="0" borderId="1" xfId="0" applyBorder="1" applyAlignment="1">
      <alignment horizontal="center" wrapText="1"/>
    </xf>
    <xf numFmtId="0" fontId="0" fillId="0" borderId="1" xfId="0" applyBorder="1"/>
    <xf numFmtId="175" fontId="0" fillId="0" borderId="1" xfId="11" applyNumberFormat="1" applyFont="1" applyBorder="1" applyAlignment="1">
      <alignment wrapText="1"/>
    </xf>
    <xf numFmtId="0" fontId="4" fillId="16" borderId="0" xfId="0" applyFont="1" applyFill="1" applyBorder="1" applyAlignment="1" applyProtection="1">
      <alignment vertical="center"/>
    </xf>
    <xf numFmtId="195" fontId="4" fillId="0" borderId="0" xfId="39">
      <alignment vertical="center"/>
    </xf>
    <xf numFmtId="175" fontId="4" fillId="0" borderId="0" xfId="0" applyNumberFormat="1" applyFont="1" applyAlignment="1" applyProtection="1">
      <alignment vertical="center"/>
    </xf>
    <xf numFmtId="173" fontId="0" fillId="8" borderId="0" xfId="0" applyNumberFormat="1" applyFill="1"/>
    <xf numFmtId="172" fontId="0" fillId="8" borderId="0" xfId="0" applyNumberFormat="1" applyFill="1"/>
    <xf numFmtId="1" fontId="0" fillId="0" borderId="0" xfId="0" applyNumberFormat="1"/>
    <xf numFmtId="178" fontId="5" fillId="0" borderId="0" xfId="0" applyNumberFormat="1" applyFont="1" applyBorder="1" applyAlignment="1">
      <alignment horizontal="left" vertical="center"/>
    </xf>
    <xf numFmtId="0" fontId="0" fillId="5" borderId="0" xfId="0" applyFill="1"/>
    <xf numFmtId="0" fontId="0" fillId="5" borderId="0" xfId="0" applyFill="1" applyAlignment="1">
      <alignment horizontal="center"/>
    </xf>
    <xf numFmtId="9" fontId="0" fillId="5" borderId="0" xfId="33" applyFont="1" applyFill="1">
      <alignment horizontal="center" vertical="center"/>
    </xf>
    <xf numFmtId="203" fontId="4" fillId="2" borderId="0" xfId="20" applyNumberFormat="1" applyFill="1">
      <alignment vertical="center"/>
    </xf>
    <xf numFmtId="204" fontId="4" fillId="2" borderId="0" xfId="20" applyNumberFormat="1" applyFill="1">
      <alignment vertical="center"/>
    </xf>
    <xf numFmtId="205" fontId="4" fillId="0" borderId="0" xfId="36" applyNumberFormat="1">
      <alignment vertical="center"/>
    </xf>
    <xf numFmtId="205" fontId="4" fillId="2" borderId="0" xfId="36" applyNumberFormat="1" applyFill="1">
      <alignment vertical="center"/>
    </xf>
    <xf numFmtId="9" fontId="4" fillId="0" borderId="0" xfId="0" applyNumberFormat="1" applyFont="1" applyAlignment="1">
      <alignment horizontal="center" vertical="center"/>
    </xf>
    <xf numFmtId="0" fontId="10" fillId="0" borderId="0" xfId="0" applyFont="1" applyAlignment="1">
      <alignment horizontal="center" vertical="center" wrapText="1"/>
    </xf>
    <xf numFmtId="0" fontId="11" fillId="2" borderId="0" xfId="17" applyFill="1" applyBorder="1" applyAlignment="1" applyProtection="1">
      <alignment horizontal="center" vertical="center" wrapText="1"/>
    </xf>
    <xf numFmtId="0" fontId="0" fillId="10" borderId="0" xfId="0" applyFill="1"/>
    <xf numFmtId="189" fontId="4" fillId="2" borderId="0" xfId="39" applyNumberFormat="1" applyFill="1">
      <alignment vertical="center"/>
    </xf>
    <xf numFmtId="0" fontId="34" fillId="0" borderId="0" xfId="17" applyFont="1" applyAlignment="1" applyProtection="1">
      <alignment wrapText="1"/>
    </xf>
    <xf numFmtId="0" fontId="10" fillId="0" borderId="0" xfId="0" applyFont="1" applyFill="1" applyAlignment="1">
      <alignment vertical="center" wrapText="1"/>
    </xf>
    <xf numFmtId="171" fontId="4" fillId="0" borderId="0" xfId="0" applyNumberFormat="1" applyFont="1" applyAlignment="1" applyProtection="1">
      <alignment vertical="center"/>
      <protection locked="0"/>
    </xf>
    <xf numFmtId="2" fontId="0" fillId="8" borderId="0" xfId="0" applyNumberFormat="1" applyFill="1"/>
    <xf numFmtId="0" fontId="4" fillId="6" borderId="0" xfId="0" applyFont="1" applyFill="1" applyAlignment="1" applyProtection="1">
      <alignment vertical="center"/>
    </xf>
    <xf numFmtId="175" fontId="4" fillId="6" borderId="0" xfId="11" applyNumberFormat="1" applyFont="1" applyFill="1" applyAlignment="1" applyProtection="1">
      <alignment vertical="center"/>
    </xf>
    <xf numFmtId="175" fontId="12" fillId="0" borderId="0" xfId="11" applyNumberFormat="1" applyFont="1"/>
    <xf numFmtId="173" fontId="12" fillId="0" borderId="0" xfId="0" applyNumberFormat="1" applyFont="1"/>
    <xf numFmtId="178" fontId="5" fillId="0" borderId="0" xfId="0" applyNumberFormat="1" applyFont="1" applyFill="1" applyBorder="1" applyAlignment="1">
      <alignment horizontal="center" vertical="center"/>
    </xf>
    <xf numFmtId="206" fontId="4" fillId="2" borderId="0" xfId="0" applyNumberFormat="1" applyFont="1" applyFill="1" applyAlignment="1" applyProtection="1">
      <alignment vertical="center"/>
      <protection locked="0"/>
    </xf>
    <xf numFmtId="9" fontId="4" fillId="2" borderId="0" xfId="33" applyNumberFormat="1" applyFont="1" applyFill="1" applyBorder="1" applyAlignment="1" applyProtection="1">
      <alignment horizontal="center" vertical="center"/>
    </xf>
    <xf numFmtId="0" fontId="4" fillId="0" borderId="0" xfId="0" applyFont="1" applyAlignment="1" applyProtection="1">
      <alignment horizontal="left"/>
    </xf>
    <xf numFmtId="0" fontId="4" fillId="0" borderId="0" xfId="0" applyFont="1" applyFill="1" applyAlignment="1" applyProtection="1">
      <alignment horizontal="left"/>
    </xf>
    <xf numFmtId="0" fontId="4" fillId="5" borderId="11" xfId="0" applyFont="1" applyFill="1" applyBorder="1" applyAlignment="1" applyProtection="1">
      <alignment horizontal="left"/>
    </xf>
    <xf numFmtId="0" fontId="4" fillId="5" borderId="12" xfId="0" applyFont="1" applyFill="1" applyBorder="1" applyAlignment="1" applyProtection="1">
      <alignment horizontal="left"/>
    </xf>
    <xf numFmtId="0" fontId="4" fillId="5" borderId="13" xfId="0" applyFont="1" applyFill="1" applyBorder="1" applyAlignment="1" applyProtection="1">
      <alignment horizontal="left"/>
    </xf>
    <xf numFmtId="0" fontId="14" fillId="0" borderId="0" xfId="0" applyFont="1" applyAlignment="1">
      <alignment vertical="center" wrapText="1"/>
    </xf>
    <xf numFmtId="0" fontId="3" fillId="13" borderId="0" xfId="0" applyFont="1" applyFill="1" applyAlignment="1">
      <alignment vertical="center"/>
    </xf>
    <xf numFmtId="0" fontId="0" fillId="13" borderId="0" xfId="0" applyFill="1" applyAlignment="1">
      <alignment vertical="center"/>
    </xf>
    <xf numFmtId="0" fontId="4" fillId="13" borderId="0" xfId="38" applyFont="1" applyFill="1" applyAlignment="1">
      <alignment vertical="center" wrapText="1"/>
    </xf>
    <xf numFmtId="0" fontId="4" fillId="13" borderId="0" xfId="38" applyFont="1" applyFill="1" applyAlignment="1">
      <alignment horizontal="left"/>
    </xf>
    <xf numFmtId="0" fontId="0" fillId="13" borderId="0" xfId="0" applyFill="1" applyBorder="1" applyAlignment="1">
      <alignment horizontal="left" vertical="center"/>
    </xf>
    <xf numFmtId="0" fontId="4" fillId="13" borderId="0" xfId="37" applyFont="1" applyFill="1" applyAlignment="1">
      <alignment vertical="center" wrapText="1"/>
    </xf>
    <xf numFmtId="0" fontId="4" fillId="13" borderId="0" xfId="0" applyFont="1" applyFill="1" applyAlignment="1">
      <alignment vertical="center" wrapText="1"/>
    </xf>
    <xf numFmtId="0" fontId="6" fillId="13" borderId="14" xfId="0" applyFont="1" applyFill="1" applyBorder="1" applyAlignment="1">
      <alignment horizontal="left"/>
    </xf>
    <xf numFmtId="0" fontId="0" fillId="13" borderId="0" xfId="0" applyFill="1" applyAlignment="1">
      <alignment vertical="center" wrapText="1"/>
    </xf>
    <xf numFmtId="207" fontId="0" fillId="8" borderId="0" xfId="0" applyNumberFormat="1" applyFill="1"/>
    <xf numFmtId="207" fontId="0" fillId="0" borderId="0" xfId="0" applyNumberFormat="1"/>
    <xf numFmtId="0" fontId="0" fillId="18" borderId="0" xfId="0" applyFill="1"/>
    <xf numFmtId="0" fontId="11" fillId="7" borderId="0" xfId="17" applyFill="1" applyAlignment="1" applyProtection="1">
      <alignment horizontal="justify" vertical="center" wrapText="1"/>
    </xf>
    <xf numFmtId="0" fontId="10" fillId="6" borderId="0" xfId="0" applyFont="1" applyFill="1" applyAlignment="1">
      <alignment wrapText="1"/>
    </xf>
    <xf numFmtId="0" fontId="24" fillId="0" borderId="0" xfId="17" applyFont="1" applyAlignment="1" applyProtection="1">
      <alignment wrapText="1"/>
    </xf>
    <xf numFmtId="0" fontId="24" fillId="6" borderId="0" xfId="17" applyFont="1" applyFill="1" applyAlignment="1" applyProtection="1">
      <alignment wrapText="1"/>
    </xf>
    <xf numFmtId="0" fontId="2" fillId="0" borderId="0" xfId="0" applyFont="1"/>
    <xf numFmtId="0" fontId="2" fillId="13" borderId="0" xfId="0" applyFont="1" applyFill="1" applyAlignment="1">
      <alignment vertical="center"/>
    </xf>
    <xf numFmtId="174" fontId="4" fillId="5" borderId="7" xfId="0" applyNumberFormat="1" applyFont="1" applyFill="1" applyBorder="1" applyAlignment="1" applyProtection="1"/>
    <xf numFmtId="10" fontId="2" fillId="2" borderId="0" xfId="0" applyNumberFormat="1" applyFont="1" applyFill="1" applyBorder="1" applyAlignment="1" applyProtection="1">
      <alignment horizontal="center" vertical="center"/>
    </xf>
    <xf numFmtId="10" fontId="2" fillId="2" borderId="0" xfId="0" applyNumberFormat="1" applyFont="1" applyFill="1" applyAlignment="1">
      <alignment horizontal="center" vertical="center"/>
    </xf>
    <xf numFmtId="0" fontId="2" fillId="0" borderId="0" xfId="0" applyFont="1" applyAlignment="1">
      <alignment wrapText="1"/>
    </xf>
    <xf numFmtId="9" fontId="0" fillId="0" borderId="0" xfId="33" applyFont="1">
      <alignment horizontal="center" vertical="center"/>
    </xf>
    <xf numFmtId="9" fontId="0" fillId="0" borderId="0" xfId="62" applyFont="1">
      <alignment horizontal="center" vertical="center"/>
    </xf>
    <xf numFmtId="0" fontId="2" fillId="13" borderId="0" xfId="0" applyFont="1" applyFill="1" applyAlignment="1">
      <alignment vertical="center" wrapText="1"/>
    </xf>
  </cellXfs>
  <cellStyles count="87">
    <cellStyle name="2x indented GHG Textfiels" xfId="1" xr:uid="{00000000-0005-0000-0000-000000000000}"/>
    <cellStyle name="5x indented GHG Textfiels" xfId="2" xr:uid="{00000000-0005-0000-0000-000001000000}"/>
    <cellStyle name="Boden" xfId="3" xr:uid="{00000000-0005-0000-0000-000002000000}"/>
    <cellStyle name="Bold GHG Numbers (0.00)" xfId="4" xr:uid="{00000000-0005-0000-0000-000003000000}"/>
    <cellStyle name="CHF" xfId="5" xr:uid="{00000000-0005-0000-0000-000004000000}"/>
    <cellStyle name="CHF 2" xfId="64" xr:uid="{00000000-0005-0000-0000-000005000000}"/>
    <cellStyle name="CHF 3" xfId="50" xr:uid="{00000000-0005-0000-0000-000006000000}"/>
    <cellStyle name="Comma [0]_CAS Ciba" xfId="6" xr:uid="{00000000-0005-0000-0000-000007000000}"/>
    <cellStyle name="Comma_CAS Ciba" xfId="7" xr:uid="{00000000-0005-0000-0000-000008000000}"/>
    <cellStyle name="comment" xfId="8" xr:uid="{00000000-0005-0000-0000-000009000000}"/>
    <cellStyle name="Currency [0]_CAS Ciba" xfId="9" xr:uid="{00000000-0005-0000-0000-00000A000000}"/>
    <cellStyle name="Currency_CAS Ciba" xfId="10" xr:uid="{00000000-0005-0000-0000-00000B000000}"/>
    <cellStyle name="dt" xfId="12" xr:uid="{00000000-0005-0000-0000-00000C000000}"/>
    <cellStyle name="EcoTitel" xfId="13" xr:uid="{00000000-0005-0000-0000-00000D000000}"/>
    <cellStyle name="EcoZahl" xfId="14" xr:uid="{00000000-0005-0000-0000-00000E000000}"/>
    <cellStyle name="Euro" xfId="15" xr:uid="{00000000-0005-0000-0000-00000F000000}"/>
    <cellStyle name="Excel Built-in Normal" xfId="61" xr:uid="{00000000-0005-0000-0000-000010000000}"/>
    <cellStyle name="Headline" xfId="16" xr:uid="{00000000-0005-0000-0000-000011000000}"/>
    <cellStyle name="Hyperlink 2" xfId="68" xr:uid="{00000000-0005-0000-0000-000013000000}"/>
    <cellStyle name="kg" xfId="18" xr:uid="{00000000-0005-0000-0000-000014000000}"/>
    <cellStyle name="kg 2" xfId="69" xr:uid="{00000000-0005-0000-0000-000015000000}"/>
    <cellStyle name="kg 3" xfId="51" xr:uid="{00000000-0005-0000-0000-000016000000}"/>
    <cellStyle name="km" xfId="19" xr:uid="{00000000-0005-0000-0000-000017000000}"/>
    <cellStyle name="km 2" xfId="70" xr:uid="{00000000-0005-0000-0000-000018000000}"/>
    <cellStyle name="km 3" xfId="52" xr:uid="{00000000-0005-0000-0000-000019000000}"/>
    <cellStyle name="Komma" xfId="11" builtinId="3"/>
    <cellStyle name="Komma 2" xfId="67" xr:uid="{00000000-0005-0000-0000-00001B000000}"/>
    <cellStyle name="Komma 3" xfId="80" xr:uid="{00000000-0005-0000-0000-00001C000000}"/>
    <cellStyle name="kW" xfId="65" xr:uid="{00000000-0005-0000-0000-00001D000000}"/>
    <cellStyle name="kWh" xfId="20" xr:uid="{00000000-0005-0000-0000-00001E000000}"/>
    <cellStyle name="kWh 2" xfId="63" xr:uid="{00000000-0005-0000-0000-00001F000000}"/>
    <cellStyle name="kWh 3" xfId="53" xr:uid="{00000000-0005-0000-0000-000020000000}"/>
    <cellStyle name="l" xfId="21" xr:uid="{00000000-0005-0000-0000-000021000000}"/>
    <cellStyle name="Link" xfId="17" builtinId="8"/>
    <cellStyle name="Luft" xfId="22" xr:uid="{00000000-0005-0000-0000-000022000000}"/>
    <cellStyle name="m2" xfId="23" xr:uid="{00000000-0005-0000-0000-000023000000}"/>
    <cellStyle name="m2a" xfId="24" xr:uid="{00000000-0005-0000-0000-000024000000}"/>
    <cellStyle name="m3" xfId="25" xr:uid="{00000000-0005-0000-0000-000025000000}"/>
    <cellStyle name="m3 2" xfId="71" xr:uid="{00000000-0005-0000-0000-000026000000}"/>
    <cellStyle name="m3 3" xfId="54" xr:uid="{00000000-0005-0000-0000-000027000000}"/>
    <cellStyle name="Niels" xfId="26" xr:uid="{00000000-0005-0000-0000-000028000000}"/>
    <cellStyle name="NielsProz" xfId="27" xr:uid="{00000000-0005-0000-0000-000029000000}"/>
    <cellStyle name="NielsProzent" xfId="28" xr:uid="{00000000-0005-0000-0000-00002A000000}"/>
    <cellStyle name="Normál 2" xfId="85" xr:uid="{00000000-0005-0000-0000-00002B000000}"/>
    <cellStyle name="Normal GHG Numbers (0.00)" xfId="29" xr:uid="{00000000-0005-0000-0000-00002C000000}"/>
    <cellStyle name="Normal GHG Textfiels Bold" xfId="30" xr:uid="{00000000-0005-0000-0000-00002D000000}"/>
    <cellStyle name="Normal GHG whole table" xfId="31" xr:uid="{00000000-0005-0000-0000-00002E000000}"/>
    <cellStyle name="Normal_andere" xfId="82" xr:uid="{00000000-0005-0000-0000-00002F000000}"/>
    <cellStyle name="NormalTabelle" xfId="32" xr:uid="{00000000-0005-0000-0000-000030000000}"/>
    <cellStyle name="Prozent" xfId="33" builtinId="5"/>
    <cellStyle name="Prozent 2" xfId="62" xr:uid="{00000000-0005-0000-0000-000032000000}"/>
    <cellStyle name="Prozent 3" xfId="72" xr:uid="{00000000-0005-0000-0000-000033000000}"/>
    <cellStyle name="Prozent 4" xfId="81" xr:uid="{00000000-0005-0000-0000-000034000000}"/>
    <cellStyle name="Prozent 5" xfId="55" xr:uid="{00000000-0005-0000-0000-000035000000}"/>
    <cellStyle name="prozent+" xfId="34" xr:uid="{00000000-0005-0000-0000-000036000000}"/>
    <cellStyle name="prozent+ 2" xfId="73" xr:uid="{00000000-0005-0000-0000-000037000000}"/>
    <cellStyle name="prozent+ 3" xfId="56" xr:uid="{00000000-0005-0000-0000-000038000000}"/>
    <cellStyle name="Prüfung" xfId="35" xr:uid="{00000000-0005-0000-0000-000039000000}"/>
    <cellStyle name="Prüfung 2" xfId="74" xr:uid="{00000000-0005-0000-0000-00003A000000}"/>
    <cellStyle name="Scientific" xfId="83" xr:uid="{00000000-0005-0000-0000-00003B000000}"/>
    <cellStyle name="Sm3" xfId="36" xr:uid="{00000000-0005-0000-0000-00003C000000}"/>
    <cellStyle name="Standard" xfId="0" builtinId="0"/>
    <cellStyle name="Standard 2" xfId="79" xr:uid="{00000000-0005-0000-0000-00003E000000}"/>
    <cellStyle name="Standard 3" xfId="86" xr:uid="{00000000-0005-0000-0000-00003F000000}"/>
    <cellStyle name="Standard_KWM_HOLZ-2004-1.01u" xfId="37" xr:uid="{00000000-0005-0000-0000-000040000000}"/>
    <cellStyle name="Standard_KWM_LW_BIOGAS-2007-2.3" xfId="38" xr:uid="{00000000-0005-0000-0000-000041000000}"/>
    <cellStyle name="t" xfId="39" xr:uid="{00000000-0005-0000-0000-000042000000}"/>
    <cellStyle name="t 2" xfId="66" xr:uid="{00000000-0005-0000-0000-000043000000}"/>
    <cellStyle name="t 3" xfId="57" xr:uid="{00000000-0005-0000-0000-000044000000}"/>
    <cellStyle name="text" xfId="40" xr:uid="{00000000-0005-0000-0000-000045000000}"/>
    <cellStyle name="Text-Manual" xfId="41" xr:uid="{00000000-0005-0000-0000-000046000000}"/>
    <cellStyle name="tkm" xfId="42" xr:uid="{00000000-0005-0000-0000-000047000000}"/>
    <cellStyle name="tkm 2" xfId="75" xr:uid="{00000000-0005-0000-0000-000048000000}"/>
    <cellStyle name="tkm 3" xfId="58" xr:uid="{00000000-0005-0000-0000-000049000000}"/>
    <cellStyle name="unit" xfId="43" xr:uid="{00000000-0005-0000-0000-00004A000000}"/>
    <cellStyle name="WährungKWM" xfId="84" xr:uid="{00000000-0005-0000-0000-00004B000000}"/>
    <cellStyle name="Wasser" xfId="44" xr:uid="{00000000-0005-0000-0000-00004C000000}"/>
    <cellStyle name="wis" xfId="45" xr:uid="{00000000-0005-0000-0000-00004D000000}"/>
    <cellStyle name="wissenschaft" xfId="46" xr:uid="{00000000-0005-0000-0000-00004E000000}"/>
    <cellStyle name="wissenschaft 2" xfId="76" xr:uid="{00000000-0005-0000-0000-00004F000000}"/>
    <cellStyle name="wissenschaft+" xfId="47" xr:uid="{00000000-0005-0000-0000-000050000000}"/>
    <cellStyle name="wissenschaft+ 2" xfId="77" xr:uid="{00000000-0005-0000-0000-000051000000}"/>
    <cellStyle name="wissenschaft+ 3" xfId="59" xr:uid="{00000000-0005-0000-0000-000052000000}"/>
    <cellStyle name="wissenschaft-Eingabe" xfId="48" xr:uid="{00000000-0005-0000-0000-000053000000}"/>
    <cellStyle name="wissenschaft-Eingabe 2" xfId="78" xr:uid="{00000000-0005-0000-0000-000054000000}"/>
    <cellStyle name="wissenschaft-Eingabe 3" xfId="60" xr:uid="{00000000-0005-0000-0000-000055000000}"/>
    <cellStyle name="zkh" xfId="49" xr:uid="{00000000-0005-0000-0000-000056000000}"/>
  </cellStyles>
  <dxfs count="4">
    <dxf>
      <fill>
        <patternFill>
          <bgColor indexed="11"/>
        </patternFill>
      </fill>
    </dxf>
    <dxf>
      <fill>
        <patternFill>
          <bgColor indexed="10"/>
        </patternFill>
      </fill>
    </dxf>
    <dxf>
      <fill>
        <patternFill>
          <bgColor indexed="11"/>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4943612290420173"/>
          <c:y val="1.4733422089971533E-2"/>
          <c:w val="0.64139919927810707"/>
          <c:h val="0.76613794867851981"/>
        </c:manualLayout>
      </c:layout>
      <c:barChart>
        <c:barDir val="col"/>
        <c:grouping val="stacked"/>
        <c:varyColors val="0"/>
        <c:ser>
          <c:idx val="8"/>
          <c:order val="0"/>
          <c:tx>
            <c:strRef>
              <c:f>Prüfung!$M$9</c:f>
              <c:strCache>
                <c:ptCount val="1"/>
                <c:pt idx="0">
                  <c:v>eingekaufte Substrate</c:v>
                </c:pt>
              </c:strCache>
            </c:strRef>
          </c:tx>
          <c:spPr>
            <a:solidFill>
              <a:srgbClr val="00FF00"/>
            </a:solidFill>
            <a:ln w="12700">
              <a:solidFill>
                <a:srgbClr val="000000"/>
              </a:solidFill>
              <a:prstDash val="solid"/>
            </a:ln>
          </c:spPr>
          <c:invertIfNegative val="0"/>
          <c:cat>
            <c:strRef>
              <c:f>Prüfung!$N$8:$O$8</c:f>
              <c:strCache>
                <c:ptCount val="2"/>
                <c:pt idx="0">
                  <c:v>Beispielanlage</c:v>
                </c:pt>
                <c:pt idx="1">
                  <c:v>Prüfwert</c:v>
                </c:pt>
              </c:strCache>
            </c:strRef>
          </c:cat>
          <c:val>
            <c:numRef>
              <c:f>Prüfung!$N$9:$O$9</c:f>
              <c:numCache>
                <c:formatCode>_ * #,##0_ ;_ * \-#,##0_ ;_ * "-"??_ ;_ @_ </c:formatCode>
                <c:ptCount val="2"/>
                <c:pt idx="0">
                  <c:v>0</c:v>
                </c:pt>
              </c:numCache>
            </c:numRef>
          </c:val>
          <c:extLst>
            <c:ext xmlns:c16="http://schemas.microsoft.com/office/drawing/2014/chart" uri="{C3380CC4-5D6E-409C-BE32-E72D297353CC}">
              <c16:uniqueId val="{00000000-4B43-472C-83A6-1C8F7C90077B}"/>
            </c:ext>
          </c:extLst>
        </c:ser>
        <c:ser>
          <c:idx val="0"/>
          <c:order val="1"/>
          <c:tx>
            <c:strRef>
              <c:f>Prüfung!$M$11</c:f>
              <c:strCache>
                <c:ptCount val="1"/>
                <c:pt idx="0">
                  <c:v>Fremdenergiebedarf</c:v>
                </c:pt>
              </c:strCache>
            </c:strRef>
          </c:tx>
          <c:spPr>
            <a:solidFill>
              <a:srgbClr val="00CCFF"/>
            </a:solidFill>
            <a:ln w="12700">
              <a:solidFill>
                <a:srgbClr val="000000"/>
              </a:solidFill>
              <a:prstDash val="solid"/>
            </a:ln>
          </c:spPr>
          <c:invertIfNegative val="0"/>
          <c:cat>
            <c:strRef>
              <c:f>Prüfung!$N$8:$O$8</c:f>
              <c:strCache>
                <c:ptCount val="2"/>
                <c:pt idx="0">
                  <c:v>Beispielanlage</c:v>
                </c:pt>
                <c:pt idx="1">
                  <c:v>Prüfwert</c:v>
                </c:pt>
              </c:strCache>
            </c:strRef>
          </c:cat>
          <c:val>
            <c:numRef>
              <c:f>Prüfung!$N$11:$O$11</c:f>
              <c:numCache>
                <c:formatCode>_ * #,##0_ ;_ * \-#,##0_ ;_ * "-"??_ ;_ @_ </c:formatCode>
                <c:ptCount val="2"/>
                <c:pt idx="0">
                  <c:v>0</c:v>
                </c:pt>
              </c:numCache>
            </c:numRef>
          </c:val>
          <c:extLst>
            <c:ext xmlns:c16="http://schemas.microsoft.com/office/drawing/2014/chart" uri="{C3380CC4-5D6E-409C-BE32-E72D297353CC}">
              <c16:uniqueId val="{00000001-4B43-472C-83A6-1C8F7C90077B}"/>
            </c:ext>
          </c:extLst>
        </c:ser>
        <c:ser>
          <c:idx val="10"/>
          <c:order val="2"/>
          <c:tx>
            <c:strRef>
              <c:f>Prüfung!$M$12</c:f>
              <c:strCache>
                <c:ptCount val="1"/>
                <c:pt idx="0">
                  <c:v>Transporte</c:v>
                </c:pt>
              </c:strCache>
            </c:strRef>
          </c:tx>
          <c:spPr>
            <a:solidFill>
              <a:srgbClr val="00FFFF"/>
            </a:solidFill>
            <a:ln w="12700">
              <a:solidFill>
                <a:srgbClr val="000000"/>
              </a:solidFill>
              <a:prstDash val="solid"/>
            </a:ln>
          </c:spPr>
          <c:invertIfNegative val="0"/>
          <c:cat>
            <c:strRef>
              <c:f>Prüfung!$N$8:$O$8</c:f>
              <c:strCache>
                <c:ptCount val="2"/>
                <c:pt idx="0">
                  <c:v>Beispielanlage</c:v>
                </c:pt>
                <c:pt idx="1">
                  <c:v>Prüfwert</c:v>
                </c:pt>
              </c:strCache>
            </c:strRef>
          </c:cat>
          <c:val>
            <c:numRef>
              <c:f>Prüfung!$N$12:$O$12</c:f>
              <c:numCache>
                <c:formatCode>_ * #,##0_ ;_ * \-#,##0_ ;_ * "-"??_ ;_ @_ </c:formatCode>
                <c:ptCount val="2"/>
                <c:pt idx="0">
                  <c:v>0</c:v>
                </c:pt>
              </c:numCache>
            </c:numRef>
          </c:val>
          <c:extLst>
            <c:ext xmlns:c16="http://schemas.microsoft.com/office/drawing/2014/chart" uri="{C3380CC4-5D6E-409C-BE32-E72D297353CC}">
              <c16:uniqueId val="{00000002-4B43-472C-83A6-1C8F7C90077B}"/>
            </c:ext>
          </c:extLst>
        </c:ser>
        <c:ser>
          <c:idx val="11"/>
          <c:order val="3"/>
          <c:tx>
            <c:strRef>
              <c:f>Prüfung!$M$14</c:f>
              <c:strCache>
                <c:ptCount val="1"/>
                <c:pt idx="0">
                  <c:v>Verbrennung, Verteilung</c:v>
                </c:pt>
              </c:strCache>
            </c:strRef>
          </c:tx>
          <c:spPr>
            <a:solidFill>
              <a:srgbClr val="99CC00"/>
            </a:solidFill>
            <a:ln w="12700">
              <a:solidFill>
                <a:srgbClr val="000000"/>
              </a:solidFill>
              <a:prstDash val="solid"/>
            </a:ln>
          </c:spPr>
          <c:invertIfNegative val="0"/>
          <c:cat>
            <c:strRef>
              <c:f>Prüfung!$N$8:$O$8</c:f>
              <c:strCache>
                <c:ptCount val="2"/>
                <c:pt idx="0">
                  <c:v>Beispielanlage</c:v>
                </c:pt>
                <c:pt idx="1">
                  <c:v>Prüfwert</c:v>
                </c:pt>
              </c:strCache>
            </c:strRef>
          </c:cat>
          <c:val>
            <c:numRef>
              <c:f>Prüfung!$N$14:$O$14</c:f>
              <c:numCache>
                <c:formatCode>_ * #,##0_ ;_ * \-#,##0_ ;_ * "-"??_ ;_ @_ </c:formatCode>
                <c:ptCount val="2"/>
                <c:pt idx="0">
                  <c:v>0</c:v>
                </c:pt>
              </c:numCache>
            </c:numRef>
          </c:val>
          <c:extLst>
            <c:ext xmlns:c16="http://schemas.microsoft.com/office/drawing/2014/chart" uri="{C3380CC4-5D6E-409C-BE32-E72D297353CC}">
              <c16:uniqueId val="{00000003-4B43-472C-83A6-1C8F7C90077B}"/>
            </c:ext>
          </c:extLst>
        </c:ser>
        <c:ser>
          <c:idx val="6"/>
          <c:order val="4"/>
          <c:tx>
            <c:strRef>
              <c:f>Prüfung!$M$15</c:f>
              <c:strCache>
                <c:ptCount val="1"/>
                <c:pt idx="0">
                  <c:v>Aschen zur Entsorgung</c:v>
                </c:pt>
              </c:strCache>
            </c:strRef>
          </c:tx>
          <c:spPr>
            <a:solidFill>
              <a:srgbClr val="FF9900"/>
            </a:solidFill>
            <a:ln w="12700">
              <a:solidFill>
                <a:srgbClr val="000000"/>
              </a:solidFill>
              <a:prstDash val="solid"/>
            </a:ln>
          </c:spPr>
          <c:invertIfNegative val="0"/>
          <c:cat>
            <c:strRef>
              <c:f>Prüfung!$N$8:$O$8</c:f>
              <c:strCache>
                <c:ptCount val="2"/>
                <c:pt idx="0">
                  <c:v>Beispielanlage</c:v>
                </c:pt>
                <c:pt idx="1">
                  <c:v>Prüfwert</c:v>
                </c:pt>
              </c:strCache>
            </c:strRef>
          </c:cat>
          <c:val>
            <c:numRef>
              <c:f>Prüfung!$N$15:$O$15</c:f>
              <c:numCache>
                <c:formatCode>_ * #,##0_ ;_ * \-#,##0_ ;_ * "-"??_ ;_ @_ </c:formatCode>
                <c:ptCount val="2"/>
                <c:pt idx="0">
                  <c:v>0</c:v>
                </c:pt>
              </c:numCache>
            </c:numRef>
          </c:val>
          <c:extLst>
            <c:ext xmlns:c16="http://schemas.microsoft.com/office/drawing/2014/chart" uri="{C3380CC4-5D6E-409C-BE32-E72D297353CC}">
              <c16:uniqueId val="{00000004-4B43-472C-83A6-1C8F7C90077B}"/>
            </c:ext>
          </c:extLst>
        </c:ser>
        <c:ser>
          <c:idx val="1"/>
          <c:order val="5"/>
          <c:tx>
            <c:strRef>
              <c:f>Prüfung!$M$16</c:f>
              <c:strCache>
                <c:ptCount val="1"/>
                <c:pt idx="0">
                  <c:v>Grenzwert Strom</c:v>
                </c:pt>
              </c:strCache>
            </c:strRef>
          </c:tx>
          <c:spPr>
            <a:solidFill>
              <a:srgbClr val="FFFF99"/>
            </a:solidFill>
            <a:ln w="12700">
              <a:solidFill>
                <a:srgbClr val="000000"/>
              </a:solidFill>
              <a:prstDash val="solid"/>
            </a:ln>
          </c:spPr>
          <c:invertIfNegative val="0"/>
          <c:cat>
            <c:strRef>
              <c:f>Prüfung!$N$8:$O$8</c:f>
              <c:strCache>
                <c:ptCount val="2"/>
                <c:pt idx="0">
                  <c:v>Beispielanlage</c:v>
                </c:pt>
                <c:pt idx="1">
                  <c:v>Prüfwert</c:v>
                </c:pt>
              </c:strCache>
            </c:strRef>
          </c:cat>
          <c:val>
            <c:numRef>
              <c:f>Prüfung!$N$16:$O$16</c:f>
              <c:numCache>
                <c:formatCode>_ * #,##0_ ;_ * \-#,##0_ ;_ * "-"??_ ;_ @_ </c:formatCode>
                <c:ptCount val="2"/>
                <c:pt idx="1">
                  <c:v>0</c:v>
                </c:pt>
              </c:numCache>
            </c:numRef>
          </c:val>
          <c:extLst>
            <c:ext xmlns:c16="http://schemas.microsoft.com/office/drawing/2014/chart" uri="{C3380CC4-5D6E-409C-BE32-E72D297353CC}">
              <c16:uniqueId val="{00000005-4B43-472C-83A6-1C8F7C90077B}"/>
            </c:ext>
          </c:extLst>
        </c:ser>
        <c:ser>
          <c:idx val="2"/>
          <c:order val="6"/>
          <c:tx>
            <c:strRef>
              <c:f>Prüfung!$M$17</c:f>
              <c:strCache>
                <c:ptCount val="1"/>
                <c:pt idx="0">
                  <c:v>Grenzwert Wärme</c:v>
                </c:pt>
              </c:strCache>
            </c:strRef>
          </c:tx>
          <c:spPr>
            <a:solidFill>
              <a:srgbClr val="FF99CC"/>
            </a:solidFill>
            <a:ln w="12700">
              <a:solidFill>
                <a:srgbClr val="000000"/>
              </a:solidFill>
              <a:prstDash val="solid"/>
            </a:ln>
          </c:spPr>
          <c:invertIfNegative val="0"/>
          <c:cat>
            <c:strRef>
              <c:f>Prüfung!$N$8:$O$8</c:f>
              <c:strCache>
                <c:ptCount val="2"/>
                <c:pt idx="0">
                  <c:v>Beispielanlage</c:v>
                </c:pt>
                <c:pt idx="1">
                  <c:v>Prüfwert</c:v>
                </c:pt>
              </c:strCache>
            </c:strRef>
          </c:cat>
          <c:val>
            <c:numRef>
              <c:f>Prüfung!$N$17:$O$17</c:f>
              <c:numCache>
                <c:formatCode>_ * #,##0_ ;_ * \-#,##0_ ;_ * "-"??_ ;_ @_ </c:formatCode>
                <c:ptCount val="2"/>
                <c:pt idx="1">
                  <c:v>0</c:v>
                </c:pt>
              </c:numCache>
            </c:numRef>
          </c:val>
          <c:extLst>
            <c:ext xmlns:c16="http://schemas.microsoft.com/office/drawing/2014/chart" uri="{C3380CC4-5D6E-409C-BE32-E72D297353CC}">
              <c16:uniqueId val="{00000006-4B43-472C-83A6-1C8F7C90077B}"/>
            </c:ext>
          </c:extLst>
        </c:ser>
        <c:ser>
          <c:idx val="3"/>
          <c:order val="7"/>
          <c:tx>
            <c:strRef>
              <c:f>Prüfung!$M$18</c:f>
              <c:strCache>
                <c:ptCount val="1"/>
                <c:pt idx="0">
                  <c:v>Grenzwert Methan</c:v>
                </c:pt>
              </c:strCache>
            </c:strRef>
          </c:tx>
          <c:spPr>
            <a:solidFill>
              <a:srgbClr val="CCFFFF"/>
            </a:solidFill>
            <a:ln w="12700">
              <a:solidFill>
                <a:srgbClr val="000000"/>
              </a:solidFill>
              <a:prstDash val="solid"/>
            </a:ln>
          </c:spPr>
          <c:invertIfNegative val="0"/>
          <c:val>
            <c:numRef>
              <c:f>Prüfung!$N$18:$O$18</c:f>
              <c:numCache>
                <c:formatCode>_ * #,##0_ ;_ * \-#,##0_ ;_ * "-"??_ ;_ @_ </c:formatCode>
                <c:ptCount val="2"/>
                <c:pt idx="1">
                  <c:v>0</c:v>
                </c:pt>
              </c:numCache>
            </c:numRef>
          </c:val>
          <c:extLst>
            <c:ext xmlns:c16="http://schemas.microsoft.com/office/drawing/2014/chart" uri="{C3380CC4-5D6E-409C-BE32-E72D297353CC}">
              <c16:uniqueId val="{00000007-4B43-472C-83A6-1C8F7C90077B}"/>
            </c:ext>
          </c:extLst>
        </c:ser>
        <c:dLbls>
          <c:showLegendKey val="0"/>
          <c:showVal val="0"/>
          <c:showCatName val="0"/>
          <c:showSerName val="0"/>
          <c:showPercent val="0"/>
          <c:showBubbleSize val="0"/>
        </c:dLbls>
        <c:gapWidth val="50"/>
        <c:overlap val="100"/>
        <c:axId val="134809088"/>
        <c:axId val="134810624"/>
      </c:barChart>
      <c:catAx>
        <c:axId val="1348090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134810624"/>
        <c:crosses val="autoZero"/>
        <c:auto val="1"/>
        <c:lblAlgn val="ctr"/>
        <c:lblOffset val="100"/>
        <c:tickMarkSkip val="1"/>
        <c:noMultiLvlLbl val="0"/>
      </c:catAx>
      <c:valAx>
        <c:axId val="134810624"/>
        <c:scaling>
          <c:orientation val="minMax"/>
        </c:scaling>
        <c:delete val="0"/>
        <c:axPos val="l"/>
        <c:majorGridlines>
          <c:spPr>
            <a:ln w="3175">
              <a:solidFill>
                <a:srgbClr val="000000"/>
              </a:solidFill>
              <a:prstDash val="solid"/>
            </a:ln>
          </c:spPr>
        </c:majorGridlines>
        <c:title>
          <c:tx>
            <c:rich>
              <a:bodyPr/>
              <a:lstStyle/>
              <a:p>
                <a:pPr>
                  <a:defRPr sz="1000" b="0" i="0" u="none" strike="noStrike" baseline="0">
                    <a:solidFill>
                      <a:srgbClr val="000000"/>
                    </a:solidFill>
                    <a:latin typeface="Arial"/>
                    <a:ea typeface="Arial"/>
                    <a:cs typeface="Arial"/>
                  </a:defRPr>
                </a:pPr>
                <a:r>
                  <a:rPr lang="de-CH"/>
                  <a:t>Eco-indicator 99 (H,A) points per year</a:t>
                </a:r>
              </a:p>
            </c:rich>
          </c:tx>
          <c:layout>
            <c:manualLayout>
              <c:xMode val="edge"/>
              <c:yMode val="edge"/>
              <c:x val="1.1494609306059268E-2"/>
              <c:y val="0.29558928068005391"/>
            </c:manualLayout>
          </c:layout>
          <c:overlay val="0"/>
          <c:spPr>
            <a:noFill/>
            <a:ln w="25400">
              <a:noFill/>
            </a:ln>
          </c:spPr>
        </c:title>
        <c:numFmt formatCode="_ * #,##0_ ;_ * \-#,##0_ ;_ * &quot;-&quot;??_ ;_ @_ "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de-DE"/>
          </a:p>
        </c:txPr>
        <c:crossAx val="134809088"/>
        <c:crosses val="autoZero"/>
        <c:crossBetween val="between"/>
      </c:valAx>
      <c:dTable>
        <c:showHorzBorder val="1"/>
        <c:showVertBorder val="1"/>
        <c:showOutline val="1"/>
        <c:showKeys val="1"/>
        <c:spPr>
          <a:ln w="3175">
            <a:solidFill>
              <a:srgbClr val="000000"/>
            </a:solidFill>
            <a:prstDash val="solid"/>
          </a:ln>
        </c:spPr>
        <c:txPr>
          <a:bodyPr/>
          <a:lstStyle/>
          <a:p>
            <a:pPr rtl="0">
              <a:defRPr sz="1000" b="0" i="0" u="none" strike="noStrike" baseline="0">
                <a:solidFill>
                  <a:srgbClr val="000000"/>
                </a:solidFill>
                <a:latin typeface="Arial"/>
                <a:ea typeface="Arial"/>
                <a:cs typeface="Arial"/>
              </a:defRPr>
            </a:pPr>
            <a:endParaRPr lang="de-DE"/>
          </a:p>
        </c:txPr>
      </c:dTable>
      <c:spPr>
        <a:solidFill>
          <a:srgbClr val="FFFFFF"/>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de-DE"/>
    </a:p>
  </c:txPr>
  <c:printSettings>
    <c:headerFooter alignWithMargins="0">
      <c:oddHeader>&amp;Lnaturemade Star Prüfung von Energieprodukten&amp;REnergie aus Vergärung</c:oddHeader>
      <c:oddFooter>&amp;L(c) ESU-services GmbH&amp;Zwww.esu-services.ch&amp;R&amp;N</c:oddFooter>
    </c:headerFooter>
    <c:pageMargins b="0.984251969" l="0.78740157499999996" r="0.78740157499999996" t="0.984251969" header="0.4921259845" footer="0.4921259845"/>
    <c:pageSetup paperSize="9" orientation="landscape"/>
  </c:printSettings>
</c:chartSpace>
</file>

<file path=xl/ctrlProps/ctrlProp1.xml><?xml version="1.0" encoding="utf-8"?>
<formControlPr xmlns="http://schemas.microsoft.com/office/spreadsheetml/2009/9/main" objectType="Drop" dropLines="2" dropStyle="combo" dx="16" fmlaLink="$J$3" fmlaRange="menues!$F$2:$F$3" noThreeD="1" sel="1" val="0"/>
</file>

<file path=xl/ctrlProps/ctrlProp2.xml><?xml version="1.0" encoding="utf-8"?>
<formControlPr xmlns="http://schemas.microsoft.com/office/spreadsheetml/2009/9/main" objectType="Drop" dropLines="5" dropStyle="combo" dx="16" fmlaLink="$J$5" fmlaRange="menues!$F$57:$F$61" noThreeD="1" sel="2" val="0"/>
</file>

<file path=xl/ctrlProps/ctrlProp3.xml><?xml version="1.0" encoding="utf-8"?>
<formControlPr xmlns="http://schemas.microsoft.com/office/spreadsheetml/2009/9/main" objectType="Drop" dropLines="5" dropStyle="combo" dx="16" fmlaLink="$J$41" fmlaRange="menues!$F$66:$F$69" noThreeD="1" sel="1" val="0"/>
</file>

<file path=xl/ctrlProps/ctrlProp4.xml><?xml version="1.0" encoding="utf-8"?>
<formControlPr xmlns="http://schemas.microsoft.com/office/spreadsheetml/2009/9/main" objectType="Drop" dropLines="5" dropStyle="combo" dx="16" fmlaLink="$J$20" fmlaRange="menues!$F$94:$F$98" noThreeD="1" sel="4"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4229100</xdr:colOff>
      <xdr:row>0</xdr:row>
      <xdr:rowOff>666750</xdr:rowOff>
    </xdr:to>
    <xdr:pic>
      <xdr:nvPicPr>
        <xdr:cNvPr id="5121" name="Picture 1" descr="firmenlogo_gross Kopie">
          <a:extLst>
            <a:ext uri="{FF2B5EF4-FFF2-40B4-BE49-F238E27FC236}">
              <a16:creationId xmlns:a16="http://schemas.microsoft.com/office/drawing/2014/main" id="{00000000-0008-0000-0000-0000011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334" r="4167"/>
        <a:stretch>
          <a:fillRect/>
        </a:stretch>
      </xdr:blipFill>
      <xdr:spPr bwMode="auto">
        <a:xfrm>
          <a:off x="0" y="0"/>
          <a:ext cx="422910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3717985</xdr:colOff>
          <xdr:row>2</xdr:row>
          <xdr:rowOff>60385</xdr:rowOff>
        </xdr:from>
        <xdr:to>
          <xdr:col>3</xdr:col>
          <xdr:colOff>163902</xdr:colOff>
          <xdr:row>2</xdr:row>
          <xdr:rowOff>232913</xdr:rowOff>
        </xdr:to>
        <xdr:sp macro="" textlink="">
          <xdr:nvSpPr>
            <xdr:cNvPr id="1026" name="Drop Down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3717985</xdr:colOff>
          <xdr:row>4</xdr:row>
          <xdr:rowOff>17253</xdr:rowOff>
        </xdr:from>
        <xdr:to>
          <xdr:col>4</xdr:col>
          <xdr:colOff>163902</xdr:colOff>
          <xdr:row>5</xdr:row>
          <xdr:rowOff>8626</xdr:rowOff>
        </xdr:to>
        <xdr:sp macro="" textlink="">
          <xdr:nvSpPr>
            <xdr:cNvPr id="1029" name="Drop Down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3174521</xdr:colOff>
          <xdr:row>39</xdr:row>
          <xdr:rowOff>232913</xdr:rowOff>
        </xdr:from>
        <xdr:to>
          <xdr:col>3</xdr:col>
          <xdr:colOff>0</xdr:colOff>
          <xdr:row>41</xdr:row>
          <xdr:rowOff>0</xdr:rowOff>
        </xdr:to>
        <xdr:sp macro="" textlink="">
          <xdr:nvSpPr>
            <xdr:cNvPr id="1030" name="Drop Down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0</xdr:colOff>
      <xdr:row>1</xdr:row>
      <xdr:rowOff>28575</xdr:rowOff>
    </xdr:from>
    <xdr:to>
      <xdr:col>10</xdr:col>
      <xdr:colOff>4143375</xdr:colOff>
      <xdr:row>44</xdr:row>
      <xdr:rowOff>19050</xdr:rowOff>
    </xdr:to>
    <xdr:graphicFrame macro="">
      <xdr:nvGraphicFramePr>
        <xdr:cNvPr id="1038" name="Diagramm 14">
          <a:extLst>
            <a:ext uri="{FF2B5EF4-FFF2-40B4-BE49-F238E27FC236}">
              <a16:creationId xmlns:a16="http://schemas.microsoft.com/office/drawing/2014/main" id="{00000000-0008-0000-0100-00000E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3686175</xdr:colOff>
      <xdr:row>39</xdr:row>
      <xdr:rowOff>114300</xdr:rowOff>
    </xdr:from>
    <xdr:to>
      <xdr:col>5</xdr:col>
      <xdr:colOff>457200</xdr:colOff>
      <xdr:row>40</xdr:row>
      <xdr:rowOff>0</xdr:rowOff>
    </xdr:to>
    <xdr:sp macro="" textlink="">
      <xdr:nvSpPr>
        <xdr:cNvPr id="1064" name="Freeform 40">
          <a:extLst>
            <a:ext uri="{FF2B5EF4-FFF2-40B4-BE49-F238E27FC236}">
              <a16:creationId xmlns:a16="http://schemas.microsoft.com/office/drawing/2014/main" id="{00000000-0008-0000-0100-000028040000}"/>
            </a:ext>
          </a:extLst>
        </xdr:cNvPr>
        <xdr:cNvSpPr>
          <a:spLocks/>
        </xdr:cNvSpPr>
      </xdr:nvSpPr>
      <xdr:spPr bwMode="auto">
        <a:xfrm>
          <a:off x="3686175" y="9448800"/>
          <a:ext cx="3667125" cy="123825"/>
        </a:xfrm>
        <a:custGeom>
          <a:avLst/>
          <a:gdLst>
            <a:gd name="T0" fmla="*/ 0 w 370"/>
            <a:gd name="T1" fmla="*/ 1 h 16"/>
            <a:gd name="T2" fmla="*/ 370 w 370"/>
            <a:gd name="T3" fmla="*/ 0 h 16"/>
            <a:gd name="T4" fmla="*/ 370 w 370"/>
            <a:gd name="T5" fmla="*/ 16 h 16"/>
          </a:gdLst>
          <a:ahLst/>
          <a:cxnLst>
            <a:cxn ang="0">
              <a:pos x="T0" y="T1"/>
            </a:cxn>
            <a:cxn ang="0">
              <a:pos x="T2" y="T3"/>
            </a:cxn>
            <a:cxn ang="0">
              <a:pos x="T4" y="T5"/>
            </a:cxn>
          </a:cxnLst>
          <a:rect l="0" t="0" r="r" b="b"/>
          <a:pathLst>
            <a:path w="370" h="16">
              <a:moveTo>
                <a:pt x="0" y="1"/>
              </a:moveTo>
              <a:lnTo>
                <a:pt x="370" y="0"/>
              </a:lnTo>
              <a:lnTo>
                <a:pt x="370" y="16"/>
              </a:lnTo>
            </a:path>
          </a:pathLst>
        </a:custGeom>
        <a:noFill/>
        <a:ln w="9525">
          <a:solidFill>
            <a:srgbClr xmlns:mc="http://schemas.openxmlformats.org/markup-compatibility/2006" xmlns:a14="http://schemas.microsoft.com/office/drawing/2010/main" val="000000" mc:Ignorable="a14" a14:legacySpreadsheetColorIndex="64"/>
          </a:solidFill>
          <a:round/>
          <a:headEnd type="none" w="med" len="med"/>
          <a:tailEnd type="triangle" w="med" len="me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5</xdr:col>
          <xdr:colOff>310551</xdr:colOff>
          <xdr:row>19</xdr:row>
          <xdr:rowOff>34506</xdr:rowOff>
        </xdr:from>
        <xdr:to>
          <xdr:col>6</xdr:col>
          <xdr:colOff>232913</xdr:colOff>
          <xdr:row>19</xdr:row>
          <xdr:rowOff>232913</xdr:rowOff>
        </xdr:to>
        <xdr:sp macro="" textlink="">
          <xdr:nvSpPr>
            <xdr:cNvPr id="1070" name="Drop Down 46" hidden="1">
              <a:extLst>
                <a:ext uri="{63B3BB69-23CF-44E3-9099-C40C66FF867C}">
                  <a14:compatExt spid="_x0000_s1070"/>
                </a:ext>
                <a:ext uri="{FF2B5EF4-FFF2-40B4-BE49-F238E27FC236}">
                  <a16:creationId xmlns:a16="http://schemas.microsoft.com/office/drawing/2014/main" id="{00000000-0008-0000-0100-00002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1</xdr:colOff>
      <xdr:row>10</xdr:row>
      <xdr:rowOff>104775</xdr:rowOff>
    </xdr:from>
    <xdr:to>
      <xdr:col>5</xdr:col>
      <xdr:colOff>504826</xdr:colOff>
      <xdr:row>39</xdr:row>
      <xdr:rowOff>93852</xdr:rowOff>
    </xdr:to>
    <xdr:pic>
      <xdr:nvPicPr>
        <xdr:cNvPr id="2" name="Grafik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a:srcRect l="17025" t="33719" r="34694" b="11988"/>
        <a:stretch/>
      </xdr:blipFill>
      <xdr:spPr>
        <a:xfrm>
          <a:off x="1" y="2038350"/>
          <a:ext cx="6896100" cy="4846827"/>
        </a:xfrm>
        <a:prstGeom prst="rect">
          <a:avLst/>
        </a:prstGeom>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esu-services.ch/projects/naturemade/" TargetMode="External"/><Relationship Id="rId3" Type="http://schemas.openxmlformats.org/officeDocument/2006/relationships/printerSettings" Target="../printerSettings/printerSettings3.bin"/><Relationship Id="rId7" Type="http://schemas.openxmlformats.org/officeDocument/2006/relationships/hyperlink" Target="http://www.naturemade.ch/" TargetMode="Externa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hyperlink" Target="mailto:jungbluth@esu-services.ch" TargetMode="External"/><Relationship Id="rId11" Type="http://schemas.openxmlformats.org/officeDocument/2006/relationships/drawing" Target="../drawings/drawing1.xml"/><Relationship Id="rId5" Type="http://schemas.openxmlformats.org/officeDocument/2006/relationships/printerSettings" Target="../printerSettings/printerSettings5.bin"/><Relationship Id="rId10" Type="http://schemas.openxmlformats.org/officeDocument/2006/relationships/printerSettings" Target="../printerSettings/printerSettings6.bin"/><Relationship Id="rId4" Type="http://schemas.openxmlformats.org/officeDocument/2006/relationships/printerSettings" Target="../printerSettings/printerSettings4.bin"/><Relationship Id="rId9" Type="http://schemas.openxmlformats.org/officeDocument/2006/relationships/hyperlink" Target="mailto:valentin.graf@naturemade.ch" TargetMode="External"/></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13" Type="http://schemas.openxmlformats.org/officeDocument/2006/relationships/comments" Target="../comments1.xml"/><Relationship Id="rId3" Type="http://schemas.openxmlformats.org/officeDocument/2006/relationships/printerSettings" Target="../printerSettings/printerSettings9.bin"/><Relationship Id="rId7" Type="http://schemas.openxmlformats.org/officeDocument/2006/relationships/drawing" Target="../drawings/drawing2.xml"/><Relationship Id="rId12" Type="http://schemas.openxmlformats.org/officeDocument/2006/relationships/ctrlProp" Target="../ctrlProps/ctrlProp4.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11" Type="http://schemas.openxmlformats.org/officeDocument/2006/relationships/ctrlProp" Target="../ctrlProps/ctrlProp3.xml"/><Relationship Id="rId5" Type="http://schemas.openxmlformats.org/officeDocument/2006/relationships/printerSettings" Target="../printerSettings/printerSettings11.bin"/><Relationship Id="rId10" Type="http://schemas.openxmlformats.org/officeDocument/2006/relationships/ctrlProp" Target="../ctrlProps/ctrlProp2.xml"/><Relationship Id="rId4" Type="http://schemas.openxmlformats.org/officeDocument/2006/relationships/printerSettings" Target="../printerSettings/printerSettings10.bin"/><Relationship Id="rId9"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1.bin"/><Relationship Id="rId7" Type="http://schemas.openxmlformats.org/officeDocument/2006/relationships/drawing" Target="../drawings/drawing3.x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5" Type="http://schemas.openxmlformats.org/officeDocument/2006/relationships/printerSettings" Target="../printerSettings/printerSettings29.bin"/><Relationship Id="rId4" Type="http://schemas.openxmlformats.org/officeDocument/2006/relationships/printerSettings" Target="../printerSettings/printerSettings28.bin"/></Relationships>
</file>

<file path=xl/worksheets/_rels/sheet6.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printerSettings" Target="../printerSettings/printerSettings33.bin"/><Relationship Id="rId7" Type="http://schemas.openxmlformats.org/officeDocument/2006/relationships/vmlDrawing" Target="../drawings/vmlDrawing2.vml"/><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6" Type="http://schemas.openxmlformats.org/officeDocument/2006/relationships/printerSettings" Target="../printerSettings/printerSettings36.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printerSettings" Target="../printerSettings/printerSettings42.bin"/><Relationship Id="rId5" Type="http://schemas.openxmlformats.org/officeDocument/2006/relationships/printerSettings" Target="../printerSettings/printerSettings41.bin"/><Relationship Id="rId4"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56"/>
  <sheetViews>
    <sheetView tabSelected="1" workbookViewId="0">
      <pane ySplit="2" topLeftCell="A36" activePane="bottomLeft" state="frozen"/>
      <selection pane="bottomLeft" activeCell="A55" sqref="A55"/>
    </sheetView>
  </sheetViews>
  <sheetFormatPr baseColWidth="10" defaultColWidth="10.875" defaultRowHeight="12.9"/>
  <cols>
    <col min="1" max="1" width="120.125" style="10" customWidth="1"/>
    <col min="2" max="2" width="12" style="10" customWidth="1"/>
    <col min="3" max="16384" width="10.875" style="10"/>
  </cols>
  <sheetData>
    <row r="1" spans="1:2" ht="61.5" customHeight="1"/>
    <row r="2" spans="1:2" ht="50.3">
      <c r="A2" s="137" t="str">
        <f>Prüfung!B2</f>
        <v>naturemade Star Prüfung: Energieprodukte aus Holzenergieanlagen</v>
      </c>
    </row>
    <row r="3" spans="1:2" s="12" customFormat="1" ht="13.6">
      <c r="A3" s="11" t="s">
        <v>103</v>
      </c>
    </row>
    <row r="4" spans="1:2" s="12" customFormat="1" ht="13.6">
      <c r="A4" s="11"/>
    </row>
    <row r="5" spans="1:2" ht="13.6">
      <c r="A5" s="31" t="s">
        <v>29</v>
      </c>
    </row>
    <row r="6" spans="1:2" ht="38.75">
      <c r="A6" s="30" t="s">
        <v>151</v>
      </c>
    </row>
    <row r="7" spans="1:2" ht="25.85">
      <c r="A7" s="30" t="s">
        <v>97</v>
      </c>
    </row>
    <row r="8" spans="1:2">
      <c r="A8" s="30" t="s">
        <v>75</v>
      </c>
    </row>
    <row r="9" spans="1:2" ht="25.85">
      <c r="A9" s="30" t="s">
        <v>102</v>
      </c>
    </row>
    <row r="10" spans="1:2">
      <c r="A10" s="30" t="s">
        <v>189</v>
      </c>
    </row>
    <row r="11" spans="1:2" ht="27.2">
      <c r="A11" s="187" t="s">
        <v>273</v>
      </c>
    </row>
    <row r="12" spans="1:2">
      <c r="A12" s="30"/>
    </row>
    <row r="13" spans="1:2" ht="13.6">
      <c r="A13" s="171" t="s">
        <v>211</v>
      </c>
    </row>
    <row r="14" spans="1:2" ht="25.85">
      <c r="A14" s="172" t="s">
        <v>207</v>
      </c>
      <c r="B14" s="167" t="s">
        <v>165</v>
      </c>
    </row>
    <row r="15" spans="1:2">
      <c r="A15" s="169" t="s">
        <v>114</v>
      </c>
      <c r="B15" s="166">
        <f t="array" ref="B15:B19">TRANSPOSE(LCIA!C15:G15)</f>
        <v>0.44444444444444442</v>
      </c>
    </row>
    <row r="16" spans="1:2">
      <c r="A16" s="169" t="s">
        <v>116</v>
      </c>
      <c r="B16" s="166">
        <v>0.58333333333333337</v>
      </c>
    </row>
    <row r="17" spans="1:2">
      <c r="A17" s="169" t="s">
        <v>155</v>
      </c>
      <c r="B17" s="166">
        <v>0.2857142857142857</v>
      </c>
    </row>
    <row r="18" spans="1:2">
      <c r="A18" s="169" t="s">
        <v>163</v>
      </c>
      <c r="B18" s="166">
        <v>9.0909090909090981E-2</v>
      </c>
    </row>
    <row r="19" spans="1:2">
      <c r="A19" s="169" t="s">
        <v>119</v>
      </c>
      <c r="B19" s="166">
        <v>0.2857142857142857</v>
      </c>
    </row>
    <row r="20" spans="1:2" ht="38.75">
      <c r="A20" s="172" t="s">
        <v>215</v>
      </c>
      <c r="B20" s="166"/>
    </row>
    <row r="21" spans="1:2">
      <c r="A21" s="169" t="s">
        <v>208</v>
      </c>
      <c r="B21" s="166">
        <v>0.5</v>
      </c>
    </row>
    <row r="22" spans="1:2">
      <c r="A22" s="169" t="s">
        <v>209</v>
      </c>
      <c r="B22" s="166">
        <v>0.3</v>
      </c>
    </row>
    <row r="23" spans="1:2">
      <c r="A23" s="169" t="s">
        <v>210</v>
      </c>
      <c r="B23" s="166">
        <v>0.2</v>
      </c>
    </row>
    <row r="24" spans="1:2">
      <c r="A24" s="30"/>
    </row>
    <row r="25" spans="1:2" ht="13.6">
      <c r="A25" s="31" t="s">
        <v>61</v>
      </c>
    </row>
    <row r="26" spans="1:2" ht="51.65">
      <c r="A26" s="32" t="s">
        <v>388</v>
      </c>
    </row>
    <row r="27" spans="1:2">
      <c r="A27" s="30"/>
    </row>
    <row r="28" spans="1:2" ht="13.6">
      <c r="A28" s="33" t="s">
        <v>60</v>
      </c>
    </row>
    <row r="29" spans="1:2" ht="25.85">
      <c r="A29" s="32" t="s">
        <v>154</v>
      </c>
    </row>
    <row r="30" spans="1:2" ht="14.3">
      <c r="A30" s="34"/>
    </row>
    <row r="31" spans="1:2" ht="13.6">
      <c r="A31" s="33" t="s">
        <v>100</v>
      </c>
    </row>
    <row r="32" spans="1:2" ht="38.75">
      <c r="A32" s="40" t="s">
        <v>460</v>
      </c>
    </row>
    <row r="33" spans="1:1">
      <c r="A33" s="200" t="s">
        <v>389</v>
      </c>
    </row>
    <row r="34" spans="1:1" ht="25.85">
      <c r="A34" s="30" t="s">
        <v>153</v>
      </c>
    </row>
    <row r="35" spans="1:1">
      <c r="A35" s="201"/>
    </row>
    <row r="36" spans="1:1">
      <c r="A36" s="204" t="s">
        <v>280</v>
      </c>
    </row>
    <row r="37" spans="1:1">
      <c r="A37" s="204" t="s">
        <v>278</v>
      </c>
    </row>
    <row r="38" spans="1:1">
      <c r="A38" s="204" t="s">
        <v>279</v>
      </c>
    </row>
    <row r="39" spans="1:1">
      <c r="A39" s="204" t="s">
        <v>98</v>
      </c>
    </row>
    <row r="40" spans="1:1">
      <c r="A40" s="56" t="s">
        <v>99</v>
      </c>
    </row>
    <row r="41" spans="1:1">
      <c r="A41" s="56" t="s">
        <v>446</v>
      </c>
    </row>
    <row r="43" spans="1:1" ht="13.6">
      <c r="A43" s="33" t="s">
        <v>152</v>
      </c>
    </row>
    <row r="44" spans="1:1">
      <c r="A44" s="201" t="s">
        <v>469</v>
      </c>
    </row>
    <row r="45" spans="1:1">
      <c r="A45" s="201" t="s">
        <v>390</v>
      </c>
    </row>
    <row r="46" spans="1:1">
      <c r="A46" s="201" t="s">
        <v>391</v>
      </c>
    </row>
    <row r="47" spans="1:1">
      <c r="A47" s="201" t="s">
        <v>101</v>
      </c>
    </row>
    <row r="48" spans="1:1">
      <c r="A48" s="202" t="s">
        <v>62</v>
      </c>
    </row>
    <row r="49" spans="1:1">
      <c r="A49" s="203" t="s">
        <v>389</v>
      </c>
    </row>
    <row r="51" spans="1:1">
      <c r="A51" s="10" t="s">
        <v>468</v>
      </c>
    </row>
    <row r="52" spans="1:1">
      <c r="A52" s="10" t="s">
        <v>445</v>
      </c>
    </row>
    <row r="54" spans="1:1">
      <c r="A54" s="10" t="s">
        <v>470</v>
      </c>
    </row>
    <row r="55" spans="1:1">
      <c r="A55" s="10" t="s">
        <v>465</v>
      </c>
    </row>
    <row r="56" spans="1:1">
      <c r="A56" s="10" t="s">
        <v>461</v>
      </c>
    </row>
  </sheetData>
  <customSheetViews>
    <customSheetView guid="{5C939B6A-1013-45AD-A8DF-BB176A346893}" fitToPage="1">
      <pane ySplit="2" topLeftCell="A12" activePane="bottomLeft" state="frozen"/>
      <selection pane="bottomLeft" activeCell="A51" sqref="A51"/>
      <pageMargins left="0.78740157499999996" right="0.78740157499999996" top="0.984251969" bottom="0.984251969" header="0.4921259845" footer="0.4921259845"/>
      <pageSetup paperSize="9" scale="65" orientation="portrait" r:id="rId1"/>
      <headerFooter alignWithMargins="0"/>
    </customSheetView>
    <customSheetView guid="{1C01E541-8A67-43B5-A788-EC28DF3B36AA}" fitToPage="1">
      <pane ySplit="2" topLeftCell="A12" activePane="bottomLeft" state="frozen"/>
      <selection pane="bottomLeft" activeCell="A51" sqref="A51"/>
      <pageMargins left="0.78740157499999996" right="0.78740157499999996" top="0.984251969" bottom="0.984251969" header="0.4921259845" footer="0.4921259845"/>
      <pageSetup paperSize="9" scale="65" orientation="portrait" r:id="rId2"/>
      <headerFooter alignWithMargins="0"/>
    </customSheetView>
    <customSheetView guid="{C9BFB6AD-5045-4B3F-B9E0-6BAC6F14C397}" fitToPage="1">
      <pane ySplit="2" topLeftCell="A3" activePane="bottomLeft" state="frozen"/>
      <selection pane="bottomLeft" activeCell="A30" sqref="A30"/>
      <pageMargins left="0.78740157499999996" right="0.78740157499999996" top="0.984251969" bottom="0.984251969" header="0.4921259845" footer="0.4921259845"/>
      <pageSetup paperSize="9" scale="65" orientation="portrait" r:id="rId3"/>
      <headerFooter alignWithMargins="0"/>
    </customSheetView>
    <customSheetView guid="{F7C43961-1B7B-48BF-9520-12F3ACF9DC41}" fitToPage="1">
      <pane ySplit="2" topLeftCell="A3" activePane="bottomLeft" state="frozen"/>
      <selection pane="bottomLeft" activeCell="A32" sqref="A32"/>
      <pageMargins left="0.78740157499999996" right="0.78740157499999996" top="0.984251969" bottom="0.984251969" header="0.4921259845" footer="0.4921259845"/>
      <pageSetup paperSize="9" scale="65" orientation="portrait" r:id="rId4"/>
      <headerFooter alignWithMargins="0"/>
    </customSheetView>
    <customSheetView guid="{CE963BD0-B8F9-4FC5-815A-8B7C4F9130DA}" fitToPage="1">
      <pane ySplit="2" topLeftCell="A27" activePane="bottomLeft" state="frozen"/>
      <selection pane="bottomLeft" activeCell="A51" sqref="A51"/>
      <pageMargins left="0.78740157499999996" right="0.78740157499999996" top="0.984251969" bottom="0.984251969" header="0.4921259845" footer="0.4921259845"/>
      <pageSetup paperSize="9" scale="65" orientation="portrait" r:id="rId5"/>
      <headerFooter alignWithMargins="0"/>
    </customSheetView>
  </customSheetViews>
  <phoneticPr fontId="0" type="noConversion"/>
  <hyperlinks>
    <hyperlink ref="A13" location="relFeuchte" display="Eingabe der relativen Feuchte" xr:uid="{00000000-0004-0000-0000-000000000000}"/>
    <hyperlink ref="A48" r:id="rId6" xr:uid="{00000000-0004-0000-0000-000001000000}"/>
    <hyperlink ref="A40" r:id="rId7" xr:uid="{00000000-0004-0000-0000-000002000000}"/>
    <hyperlink ref="A33" r:id="rId8" xr:uid="{00000000-0004-0000-0000-000003000000}"/>
    <hyperlink ref="A41" r:id="rId9" xr:uid="{00000000-0004-0000-0000-000004000000}"/>
  </hyperlinks>
  <pageMargins left="0.78740157499999996" right="0.78740157499999996" top="0.984251969" bottom="0.984251969" header="0.4921259845" footer="0.4921259845"/>
  <pageSetup paperSize="9" scale="65" orientation="portrait" r:id="rId10"/>
  <headerFooter alignWithMargins="0"/>
  <drawing r:id="rId1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44"/>
  <sheetViews>
    <sheetView topLeftCell="B2" zoomScale="90" zoomScaleNormal="90" workbookViewId="0">
      <pane ySplit="2" topLeftCell="A25" activePane="bottomLeft" state="frozen"/>
      <selection activeCell="B2" sqref="B2"/>
      <selection pane="bottomLeft" activeCell="I39" sqref="I39"/>
    </sheetView>
  </sheetViews>
  <sheetFormatPr baseColWidth="10" defaultColWidth="11.375" defaultRowHeight="12.9" outlineLevelRow="1" outlineLevelCol="1"/>
  <cols>
    <col min="1" max="1" width="4.25" style="21" hidden="1" customWidth="1" outlineLevel="1"/>
    <col min="2" max="2" width="55.875" style="21" customWidth="1" collapsed="1"/>
    <col min="3" max="3" width="16.25" style="21" customWidth="1"/>
    <col min="4" max="4" width="15.25" style="21" customWidth="1"/>
    <col min="5" max="5" width="16" style="21" customWidth="1"/>
    <col min="6" max="8" width="19.75" style="21" customWidth="1"/>
    <col min="9" max="9" width="10.375" style="21" customWidth="1"/>
    <col min="10" max="10" width="11.875" style="21" hidden="1" customWidth="1" outlineLevel="1"/>
    <col min="11" max="11" width="62.625" style="21" customWidth="1" collapsed="1"/>
    <col min="12" max="12" width="11.375" style="21"/>
    <col min="13" max="13" width="36.25" style="21" bestFit="1" customWidth="1"/>
    <col min="14" max="15" width="11.625" style="21" bestFit="1" customWidth="1"/>
    <col min="16" max="16384" width="11.375" style="21"/>
  </cols>
  <sheetData>
    <row r="1" spans="1:15" hidden="1" outlineLevel="1">
      <c r="C1" s="21">
        <v>41</v>
      </c>
      <c r="D1" s="21">
        <v>42</v>
      </c>
      <c r="F1" s="21">
        <v>44</v>
      </c>
      <c r="G1" s="21">
        <v>72</v>
      </c>
      <c r="H1" s="21">
        <v>73</v>
      </c>
    </row>
    <row r="2" spans="1:15" ht="21.1" customHeight="1" collapsed="1">
      <c r="A2" s="21">
        <v>2</v>
      </c>
      <c r="B2" s="57" t="str">
        <f>INDEX(menues!$1:$1048576,$A2,sprache)</f>
        <v>naturemade Star Prüfung: Energieprodukte aus Holzenergieanlagen</v>
      </c>
      <c r="C2" s="16"/>
      <c r="D2" s="22"/>
      <c r="E2" s="22"/>
      <c r="F2" s="23"/>
      <c r="G2" s="23"/>
      <c r="H2" s="23"/>
      <c r="I2" s="54" t="s">
        <v>84</v>
      </c>
    </row>
    <row r="3" spans="1:15" ht="18.7" customHeight="1">
      <c r="A3" s="21">
        <v>3</v>
      </c>
      <c r="B3" s="58" t="str">
        <f>INDEX(menues!$1:$1048576,$A3,sprache)</f>
        <v>Eingabe:</v>
      </c>
      <c r="C3" s="52"/>
      <c r="D3" s="22"/>
      <c r="E3" s="22"/>
      <c r="F3" s="23"/>
      <c r="G3" s="23"/>
      <c r="H3" s="23"/>
      <c r="I3" s="55" t="s">
        <v>96</v>
      </c>
      <c r="J3" s="21">
        <v>1</v>
      </c>
    </row>
    <row r="4" spans="1:15" ht="18.7" customHeight="1">
      <c r="A4" s="21">
        <v>4</v>
      </c>
      <c r="B4" s="58" t="str">
        <f>INDEX(menues!$1:$1048576,$A4,sprache)</f>
        <v>Anlagenname und Referenzzeitraum</v>
      </c>
      <c r="C4" s="53" t="s">
        <v>459</v>
      </c>
      <c r="D4" s="22"/>
      <c r="E4" s="22"/>
      <c r="F4" s="23"/>
      <c r="G4" s="23"/>
      <c r="H4" s="23"/>
      <c r="I4" s="55" t="s">
        <v>96</v>
      </c>
    </row>
    <row r="5" spans="1:15" ht="18.7" customHeight="1">
      <c r="A5" s="21">
        <v>6</v>
      </c>
      <c r="B5" s="54" t="str">
        <f>INDEX(menues!$1:$1048576,$A5,sprache)</f>
        <v>Anlagentyp</v>
      </c>
      <c r="C5" s="23"/>
      <c r="D5" s="22"/>
      <c r="E5" s="115"/>
      <c r="F5" s="23"/>
      <c r="G5" s="23"/>
      <c r="H5" s="23"/>
      <c r="I5" s="55" t="b">
        <f>NOT(AND(Anlagentyp=1,C32&gt;0))</f>
        <v>1</v>
      </c>
      <c r="J5" s="21">
        <v>2</v>
      </c>
    </row>
    <row r="6" spans="1:15" ht="40.6" customHeight="1">
      <c r="A6" s="21">
        <v>7</v>
      </c>
      <c r="B6" s="58" t="str">
        <f>INDEX(menues!$1:$1048576,$A6,sprache)</f>
        <v>Inputs</v>
      </c>
      <c r="C6" s="112" t="str">
        <f>INDEX(menues!$1:$1048576,$C1,sprache)</f>
        <v>Schütt-kubikmeter</v>
      </c>
      <c r="D6" s="168" t="str">
        <f>INDEX(menues!$1:$1048576,D1,sprache)</f>
        <v>relative Feuchte (W)</v>
      </c>
      <c r="E6" s="22" t="s">
        <v>139</v>
      </c>
      <c r="F6" s="112" t="str">
        <f>INDEX(menues!$1:$1048576,$F1,sprache)</f>
        <v>Mittlere einfache Transportentfernung, Lkw</v>
      </c>
      <c r="G6" s="112" t="str">
        <f>INDEX(menues!$1:$1048576,$G1,sprache)</f>
        <v>Mittlere einfache Transportentfernung, Bahn</v>
      </c>
      <c r="H6" s="112" t="str">
        <f>INDEX(menues!$1:$1048576,$H1,sprache)</f>
        <v>Mittlere einfache Transportentfernung, Schiff</v>
      </c>
      <c r="I6" s="55" t="s">
        <v>96</v>
      </c>
    </row>
    <row r="7" spans="1:15" ht="18.7" customHeight="1">
      <c r="A7">
        <v>75</v>
      </c>
      <c r="B7" s="131" t="str">
        <f>INDEX(menues!$1:$1048576,$A7,sprache)</f>
        <v>Holzschnitzel, Laubbaum</v>
      </c>
      <c r="C7" s="164">
        <v>0</v>
      </c>
      <c r="D7" s="166">
        <v>0.45</v>
      </c>
      <c r="E7" s="170">
        <f t="array" ref="E7:E11">TRANSPOSE(LCIA!C17:G17)</f>
        <v>0</v>
      </c>
      <c r="F7" s="68">
        <v>0</v>
      </c>
      <c r="G7" s="68">
        <v>0</v>
      </c>
      <c r="H7" s="68">
        <v>0</v>
      </c>
      <c r="I7" s="55" t="s">
        <v>96</v>
      </c>
    </row>
    <row r="8" spans="1:15" ht="18.7" customHeight="1">
      <c r="A8">
        <v>76</v>
      </c>
      <c r="B8" s="131" t="str">
        <f>INDEX(menues!$1:$1048576,$A8,sprache)</f>
        <v>Holzschnitzel, Nadelbaum</v>
      </c>
      <c r="C8" s="164">
        <v>0</v>
      </c>
      <c r="D8" s="166">
        <v>0.45</v>
      </c>
      <c r="E8" s="170">
        <v>0</v>
      </c>
      <c r="F8" s="68">
        <v>0</v>
      </c>
      <c r="G8" s="68">
        <v>0</v>
      </c>
      <c r="H8" s="68">
        <v>0</v>
      </c>
      <c r="I8" s="55" t="s">
        <v>96</v>
      </c>
      <c r="N8" s="21" t="str">
        <f>name</f>
        <v>Beispielanlage</v>
      </c>
      <c r="O8" s="21" t="str">
        <f>Umweltdeklaration!B11</f>
        <v>Prüfwert</v>
      </c>
    </row>
    <row r="9" spans="1:15" ht="18.7" customHeight="1">
      <c r="A9">
        <v>77</v>
      </c>
      <c r="B9" s="131" t="str">
        <f>INDEX(menues!$1:$1048576,$A9,sprache)</f>
        <v>Holzschnitzel, Restholz (z.B. aus Sägerei)</v>
      </c>
      <c r="C9" s="164">
        <v>0</v>
      </c>
      <c r="D9" s="166">
        <v>0.2857142857142857</v>
      </c>
      <c r="E9" s="170">
        <v>0</v>
      </c>
      <c r="F9" s="68">
        <v>0</v>
      </c>
      <c r="G9" s="68">
        <v>0</v>
      </c>
      <c r="H9" s="68">
        <v>0</v>
      </c>
      <c r="I9" s="55" t="s">
        <v>96</v>
      </c>
      <c r="M9" s="21" t="str">
        <f>Umweltdeklaration!B4</f>
        <v>eingekaufte Substrate</v>
      </c>
      <c r="N9" s="50">
        <f>Umweltdeklaration!H4</f>
        <v>0</v>
      </c>
      <c r="O9" s="50"/>
    </row>
    <row r="10" spans="1:15" ht="18.7" customHeight="1">
      <c r="A10">
        <v>74</v>
      </c>
      <c r="B10" s="131" t="str">
        <f>INDEX(menues!$1:$1048576,$A10,sprache)</f>
        <v>Holzpellets</v>
      </c>
      <c r="C10" s="164">
        <v>0</v>
      </c>
      <c r="D10" s="166">
        <v>9.0909090909090981E-2</v>
      </c>
      <c r="E10" s="170">
        <v>0</v>
      </c>
      <c r="F10" s="68">
        <v>0</v>
      </c>
      <c r="G10" s="68">
        <v>0</v>
      </c>
      <c r="H10" s="68">
        <v>0</v>
      </c>
      <c r="I10" s="55" t="s">
        <v>96</v>
      </c>
      <c r="M10" s="21" t="str">
        <f>Umweltdeklaration!B5</f>
        <v>Fremdenergiebedarf</v>
      </c>
      <c r="N10" s="50">
        <f>Umweltdeklaration!H5</f>
        <v>0</v>
      </c>
      <c r="O10" s="50"/>
    </row>
    <row r="11" spans="1:15" ht="18.7" customHeight="1">
      <c r="A11">
        <v>78</v>
      </c>
      <c r="B11" s="131" t="str">
        <f>INDEX(menues!$1:$1048576,$A11,sprache)</f>
        <v>Holzschnitzel, Altholz</v>
      </c>
      <c r="C11" s="164">
        <v>0</v>
      </c>
      <c r="D11" s="166">
        <v>0.2857142857142857</v>
      </c>
      <c r="E11" s="170">
        <v>0</v>
      </c>
      <c r="F11" s="68">
        <v>0</v>
      </c>
      <c r="G11" s="68">
        <v>0</v>
      </c>
      <c r="H11" s="68">
        <v>0</v>
      </c>
      <c r="I11" s="55" t="s">
        <v>96</v>
      </c>
      <c r="M11" s="21" t="str">
        <f>Umweltdeklaration!B5</f>
        <v>Fremdenergiebedarf</v>
      </c>
      <c r="N11" s="50">
        <f>Umweltdeklaration!H5</f>
        <v>0</v>
      </c>
      <c r="O11" s="50"/>
    </row>
    <row r="12" spans="1:15" ht="18.7" customHeight="1">
      <c r="A12">
        <v>80</v>
      </c>
      <c r="B12" s="131" t="str">
        <f>INDEX(menues!$1:$1048576,$A12,sprache)</f>
        <v>Holzmenge</v>
      </c>
      <c r="C12" s="165">
        <f>SUM(C7:C11)</f>
        <v>0</v>
      </c>
      <c r="D12" s="113"/>
      <c r="E12" s="170">
        <f>SUM(E7:E11)</f>
        <v>0</v>
      </c>
      <c r="F12" s="59"/>
      <c r="G12" s="59"/>
      <c r="H12" s="59"/>
      <c r="I12" s="55" t="s">
        <v>96</v>
      </c>
      <c r="J12" s="21" t="b">
        <f>C11&gt;0</f>
        <v>0</v>
      </c>
      <c r="M12" s="21" t="str">
        <f>Umweltdeklaration!B6</f>
        <v>Transporte</v>
      </c>
      <c r="N12" s="50">
        <f>Umweltdeklaration!H6</f>
        <v>0</v>
      </c>
      <c r="O12" s="50"/>
    </row>
    <row r="13" spans="1:15" ht="18.7" customHeight="1">
      <c r="A13" s="21">
        <v>23</v>
      </c>
      <c r="B13" s="131" t="str">
        <f>INDEX(menues!$1:$1048576,$A13,sprache)</f>
        <v>Rapsölmethylester</v>
      </c>
      <c r="C13" s="116">
        <v>0</v>
      </c>
      <c r="D13" s="59"/>
      <c r="E13" s="117">
        <f>C13</f>
        <v>0</v>
      </c>
      <c r="F13" s="68">
        <v>0</v>
      </c>
      <c r="G13" s="68">
        <v>0</v>
      </c>
      <c r="H13" s="68">
        <v>0</v>
      </c>
      <c r="I13" s="55" t="s">
        <v>96</v>
      </c>
    </row>
    <row r="14" spans="1:15" ht="18.7" customHeight="1">
      <c r="A14">
        <v>21</v>
      </c>
      <c r="B14" s="131" t="str">
        <f>INDEX(menues!$1:$1048576,$A14,sprache)</f>
        <v>Gesamtinputmenge für Anlage</v>
      </c>
      <c r="C14" s="115">
        <f>SUM(LCIA!C19:H19)</f>
        <v>0</v>
      </c>
      <c r="D14" s="162" t="e">
        <f>C14/SUM(LCIA!C18:G18)</f>
        <v>#DIV/0!</v>
      </c>
      <c r="E14" s="163" t="e">
        <f>C14/C12</f>
        <v>#DIV/0!</v>
      </c>
      <c r="F14" s="138">
        <f>LCIA!M6</f>
        <v>0</v>
      </c>
      <c r="G14" s="138">
        <f>LCIA!N6</f>
        <v>0</v>
      </c>
      <c r="H14" s="138">
        <f>LCIA!O6</f>
        <v>0</v>
      </c>
      <c r="I14" s="54" t="b">
        <f>C14&gt;0</f>
        <v>0</v>
      </c>
      <c r="M14" s="21" t="str">
        <f>Umweltdeklaration!B7</f>
        <v>Verbrennung, Verteilung</v>
      </c>
      <c r="N14" s="50">
        <f>Umweltdeklaration!H7</f>
        <v>0</v>
      </c>
      <c r="O14" s="50"/>
    </row>
    <row r="15" spans="1:15" ht="18.7" customHeight="1">
      <c r="A15" s="21">
        <v>93</v>
      </c>
      <c r="B15" s="132" t="str">
        <f>INDEX(menues!$1:$1048576,$A15,sprache)</f>
        <v>Energiebezug der Anlage (Systemgrenzen beachten)</v>
      </c>
      <c r="C15" s="108">
        <f>SUM(C16:C19)</f>
        <v>0</v>
      </c>
      <c r="D15" s="22"/>
      <c r="E15" s="61"/>
      <c r="F15" s="23"/>
      <c r="G15" s="23"/>
      <c r="H15" s="23"/>
      <c r="I15" s="55" t="s">
        <v>96</v>
      </c>
      <c r="M15" s="21" t="str">
        <f>Umweltdeklaration!B8</f>
        <v>Aschen zur Entsorgung</v>
      </c>
      <c r="N15" s="50">
        <f>Umweltdeklaration!H8</f>
        <v>0</v>
      </c>
      <c r="O15" s="50"/>
    </row>
    <row r="16" spans="1:15" ht="18.7" customHeight="1">
      <c r="A16" s="21">
        <v>9</v>
      </c>
      <c r="B16" s="133" t="str">
        <f>INDEX(menues!$1:$1048576,$A16,sprache)</f>
        <v>Strombezug aus Netz</v>
      </c>
      <c r="C16" s="65">
        <v>0</v>
      </c>
      <c r="D16" s="22"/>
      <c r="E16" s="22"/>
      <c r="F16" s="24"/>
      <c r="G16" s="24"/>
      <c r="H16" s="24"/>
      <c r="I16" s="55" t="b">
        <f>IF(AND(C34&gt;0,C16&gt;0),FALSE,TRUE)</f>
        <v>1</v>
      </c>
      <c r="M16" s="21" t="str">
        <f>Umweltdeklaration!B13</f>
        <v>Grenzwert Strom</v>
      </c>
      <c r="N16" s="50"/>
      <c r="O16" s="50">
        <f>Umweltdeklaration!D13</f>
        <v>0</v>
      </c>
    </row>
    <row r="17" spans="1:15" ht="18.7" customHeight="1">
      <c r="A17" s="21">
        <v>10</v>
      </c>
      <c r="B17" s="133" t="str">
        <f>INDEX(menues!$1:$1048576,$A17,sprache)</f>
        <v>Heizölverbrauch</v>
      </c>
      <c r="C17" s="65">
        <v>0</v>
      </c>
      <c r="D17" s="22"/>
      <c r="E17" s="22"/>
      <c r="F17" s="23"/>
      <c r="G17" s="23"/>
      <c r="H17" s="23"/>
      <c r="I17" s="55" t="s">
        <v>96</v>
      </c>
      <c r="M17" s="21" t="str">
        <f>Umweltdeklaration!B14</f>
        <v>Grenzwert Wärme</v>
      </c>
      <c r="N17" s="50"/>
      <c r="O17" s="50">
        <f>Umweltdeklaration!D14</f>
        <v>0</v>
      </c>
    </row>
    <row r="18" spans="1:15" ht="18.7" customHeight="1">
      <c r="A18" s="21">
        <v>87</v>
      </c>
      <c r="B18" s="133" t="str">
        <f>INDEX(menues!$1:$1048576,$A18,sprache)</f>
        <v>Dieselverbrauch (10 kWh/Liter)</v>
      </c>
      <c r="C18" s="65">
        <v>0</v>
      </c>
      <c r="D18" s="22"/>
      <c r="E18" s="22"/>
      <c r="F18" s="23"/>
      <c r="G18" s="23"/>
      <c r="H18" s="23"/>
      <c r="I18" s="55" t="s">
        <v>96</v>
      </c>
      <c r="M18" s="175" t="str">
        <f>Umweltdeklaration!B15</f>
        <v>Grenzwert Methan</v>
      </c>
      <c r="N18" s="176"/>
      <c r="O18" s="176">
        <f>Umweltdeklaration!D15</f>
        <v>0</v>
      </c>
    </row>
    <row r="19" spans="1:15" ht="18.7" customHeight="1">
      <c r="A19" s="21">
        <v>18</v>
      </c>
      <c r="B19" s="133" t="str">
        <f>INDEX(menues!$1:$1048576,$A19,sprache)</f>
        <v>Erdgasverbrauch</v>
      </c>
      <c r="C19" s="65">
        <v>0</v>
      </c>
      <c r="D19" s="22"/>
      <c r="E19" s="22"/>
      <c r="F19" s="23"/>
      <c r="G19" s="23"/>
      <c r="H19" s="23"/>
      <c r="I19" s="55" t="s">
        <v>96</v>
      </c>
      <c r="N19" s="154">
        <f>SUM(N9:N18)</f>
        <v>0</v>
      </c>
      <c r="O19" s="154">
        <f>SUM(O9:O18)</f>
        <v>0</v>
      </c>
    </row>
    <row r="20" spans="1:15" ht="19.55" customHeight="1">
      <c r="A20" s="21">
        <v>28</v>
      </c>
      <c r="B20" s="134" t="str">
        <f>INDEX(menues!$1:$1048576,$A20,sprache)</f>
        <v>Luftemissionen im trockn. Abgas bez. auf 11%/13% O2 / Feuerungswärmeleistung</v>
      </c>
      <c r="C20" s="152"/>
      <c r="D20" s="22"/>
      <c r="E20" s="180">
        <f>Nm3_Abgas</f>
        <v>0</v>
      </c>
      <c r="F20" s="23"/>
      <c r="G20" s="23"/>
      <c r="H20" s="23"/>
      <c r="I20" s="55" t="b">
        <f>Anlagengrösse&gt;1</f>
        <v>1</v>
      </c>
      <c r="J20" s="21">
        <v>4</v>
      </c>
    </row>
    <row r="21" spans="1:15" ht="18.7" customHeight="1">
      <c r="A21">
        <v>81</v>
      </c>
      <c r="B21" s="135" t="str">
        <f>INDEX(menues!$1:$1048576,$A21,sprache)</f>
        <v>Stickoxide NOx als NO2 / Emissionsgrenzwerte gemäss LRV</v>
      </c>
      <c r="C21" s="127">
        <v>250</v>
      </c>
      <c r="D21" s="22"/>
      <c r="E21" s="130">
        <f ca="1">OFFSET(LRV!$A$1,2,Anlagengrösse+1)</f>
        <v>250</v>
      </c>
      <c r="F21" s="23"/>
      <c r="G21" s="23"/>
      <c r="H21" s="23"/>
      <c r="I21" s="54" t="b">
        <f ca="1">AND(0&lt;C21,C21&lt;=E21)</f>
        <v>1</v>
      </c>
    </row>
    <row r="22" spans="1:15" ht="18.7" customHeight="1">
      <c r="A22">
        <v>82</v>
      </c>
      <c r="B22" s="135" t="str">
        <f>INDEX(menues!$1:$1048576,$A22,sprache)</f>
        <v>Staub (= Feststoffe), PM10 / Emissionsgrenzwerte gemäss LRV</v>
      </c>
      <c r="C22" s="127">
        <v>20</v>
      </c>
      <c r="D22" s="60"/>
      <c r="E22" s="130">
        <f ca="1">OFFSET(LRV!$A$1,3,Anlagengrösse+1)</f>
        <v>20</v>
      </c>
      <c r="F22" s="23"/>
      <c r="G22" s="23"/>
      <c r="H22" s="23"/>
      <c r="I22" s="54" t="b">
        <f ca="1">AND(0&lt;C22,C22&lt;=E22)</f>
        <v>1</v>
      </c>
    </row>
    <row r="23" spans="1:15" ht="18.7" customHeight="1">
      <c r="A23">
        <v>83</v>
      </c>
      <c r="B23" s="135" t="str">
        <f>IF(altholzverbrennung,INDEX(menues!$1:$1048576,$A23,sprache),"-")</f>
        <v>-</v>
      </c>
      <c r="C23" s="128">
        <v>0</v>
      </c>
      <c r="D23" s="60"/>
      <c r="E23" s="144" t="str">
        <f>IF(altholzverbrennung,J23,"-")</f>
        <v>-</v>
      </c>
      <c r="F23" s="23"/>
      <c r="G23" s="23"/>
      <c r="H23" s="23"/>
      <c r="I23" s="54" t="b">
        <f>IF(altholzverbrennung,AND(0&lt;C23,C23&lt;=E23),TRUE)</f>
        <v>1</v>
      </c>
      <c r="J23" s="21">
        <v>1</v>
      </c>
      <c r="N23" s="50"/>
      <c r="O23" s="50"/>
    </row>
    <row r="24" spans="1:15" ht="18.7" customHeight="1">
      <c r="A24">
        <v>84</v>
      </c>
      <c r="B24" s="135" t="str">
        <f>IF(altholzverbrennung,INDEX(menues!$1:$1048576,$A24,sprache),"-")</f>
        <v>-</v>
      </c>
      <c r="C24" s="143">
        <v>0</v>
      </c>
      <c r="D24" s="60"/>
      <c r="E24" s="144" t="str">
        <f>IF(altholzverbrennung,J24,"-")</f>
        <v>-</v>
      </c>
      <c r="F24" s="23"/>
      <c r="G24" s="23"/>
      <c r="H24" s="23"/>
      <c r="I24" s="54" t="b">
        <f>IF(altholzverbrennung,AND(0&lt;C24,C24&lt;=E24),TRUE)</f>
        <v>1</v>
      </c>
      <c r="J24" s="21">
        <v>0.1</v>
      </c>
      <c r="N24" s="50"/>
      <c r="O24" s="50"/>
    </row>
    <row r="25" spans="1:15" ht="18.7" customHeight="1">
      <c r="A25">
        <v>85</v>
      </c>
      <c r="B25" s="135" t="str">
        <f>IF(altholzverbrennung,INDEX(menues!$1:$1048576,$A25,sprache),"-")</f>
        <v>-</v>
      </c>
      <c r="C25" s="128">
        <v>0</v>
      </c>
      <c r="D25" s="60"/>
      <c r="E25" s="144" t="str">
        <f>IF(altholzverbrennung,J25,"-")</f>
        <v>-</v>
      </c>
      <c r="F25" s="23"/>
      <c r="G25" s="23"/>
      <c r="H25" s="23"/>
      <c r="I25" s="54" t="b">
        <f>IF(altholzverbrennung,AND(0&lt;C25,C25&lt;=E25),TRUE)</f>
        <v>1</v>
      </c>
      <c r="J25" s="21">
        <v>1</v>
      </c>
      <c r="N25" s="50"/>
      <c r="O25" s="50"/>
    </row>
    <row r="26" spans="1:15" ht="18.7" customHeight="1">
      <c r="A26" s="21">
        <v>11</v>
      </c>
      <c r="B26" s="58" t="str">
        <f>INDEX(menues!$1:$1048576,$A26,sprache)</f>
        <v>Outputs der Anlage</v>
      </c>
      <c r="C26" s="109"/>
      <c r="D26" s="22"/>
      <c r="E26" s="22"/>
      <c r="F26" s="23"/>
      <c r="G26" s="23"/>
      <c r="H26" s="23"/>
      <c r="I26" s="55" t="s">
        <v>96</v>
      </c>
    </row>
    <row r="27" spans="1:15" ht="18.7" customHeight="1">
      <c r="A27" s="21">
        <v>12</v>
      </c>
      <c r="B27" s="64" t="str">
        <f>INDEX(menues!$1:$1048576,$A27,sprache)</f>
        <v>Gesamtproduktion Biomethan, Brutto (12.7 kWh/kg)</v>
      </c>
      <c r="C27" s="173">
        <v>0</v>
      </c>
      <c r="D27" s="62"/>
      <c r="E27" s="22"/>
      <c r="F27" s="23"/>
      <c r="G27" s="23"/>
      <c r="H27" s="23"/>
      <c r="I27" s="55" t="s">
        <v>96</v>
      </c>
      <c r="J27" s="69"/>
    </row>
    <row r="28" spans="1:15" ht="18.7" customHeight="1">
      <c r="A28" s="21">
        <v>24</v>
      </c>
      <c r="B28" s="64" t="str">
        <f>INDEX(menues!$1:$1048576,$A28,sprache)</f>
        <v>ungewollte Biogas Verluste (Methanschlupf und Unterbrüche)</v>
      </c>
      <c r="C28" s="66">
        <v>0</v>
      </c>
      <c r="D28" s="22"/>
      <c r="E28" s="22"/>
      <c r="F28" s="23"/>
      <c r="G28" s="23"/>
      <c r="H28" s="23"/>
      <c r="I28" s="55" t="s">
        <v>96</v>
      </c>
    </row>
    <row r="29" spans="1:15" ht="18.7" customHeight="1">
      <c r="A29" s="21">
        <v>16</v>
      </c>
      <c r="B29" s="64" t="str">
        <f>INDEX(menues!$1:$1048576,$A29,sprache)</f>
        <v>Biomethan: Verkauf und Verbrauch ausserhalb der Anlage</v>
      </c>
      <c r="C29" s="173">
        <v>0</v>
      </c>
      <c r="D29" s="22"/>
      <c r="E29" s="170">
        <f>C29/12.7/1000</f>
        <v>0</v>
      </c>
      <c r="F29" s="23"/>
      <c r="G29" s="23"/>
      <c r="H29" s="23"/>
      <c r="I29" s="54" t="b">
        <f>IF(C29&gt;0,IF(Anlagentyp=5,TRUE,FALSE),TRUE)</f>
        <v>1</v>
      </c>
    </row>
    <row r="30" spans="1:15" ht="18.7" customHeight="1">
      <c r="A30" s="21">
        <v>13</v>
      </c>
      <c r="B30" s="64" t="str">
        <f>INDEX(menues!$1:$1048576,$A30,sprache)</f>
        <v>Biomethan verbrannt in Fackel, Heizung, BHKW</v>
      </c>
      <c r="C30" s="107">
        <f>C27-C28-C29</f>
        <v>0</v>
      </c>
      <c r="D30" s="22"/>
      <c r="E30" s="22"/>
      <c r="F30" s="23"/>
      <c r="G30" s="23"/>
      <c r="H30" s="23"/>
      <c r="I30" s="55" t="s">
        <v>96</v>
      </c>
    </row>
    <row r="31" spans="1:15" ht="18.7" customHeight="1">
      <c r="A31" s="21">
        <v>55</v>
      </c>
      <c r="B31" s="64" t="str">
        <f>INDEX(menues!$1:$1048576,$A31,sprache)</f>
        <v>Total Biomethannutzung, Brutto</v>
      </c>
      <c r="C31" s="63">
        <f>C30+C28+C29</f>
        <v>0</v>
      </c>
      <c r="D31" s="22"/>
      <c r="E31" s="22"/>
      <c r="F31" s="23"/>
      <c r="G31" s="23"/>
      <c r="H31" s="23"/>
      <c r="I31" s="54" t="b">
        <f>C31&lt;=C27</f>
        <v>1</v>
      </c>
    </row>
    <row r="32" spans="1:15" ht="18.7" customHeight="1">
      <c r="A32" s="21">
        <v>99</v>
      </c>
      <c r="B32" s="79" t="str">
        <f>INDEX(menues!$1:$1048576,$A32,sprache)</f>
        <v>Gesamtproduktion Strom, Brutto</v>
      </c>
      <c r="C32" s="66">
        <v>0</v>
      </c>
      <c r="D32" s="22"/>
      <c r="E32" s="22"/>
      <c r="F32" s="23"/>
      <c r="G32" s="23"/>
      <c r="H32" s="23"/>
      <c r="I32" s="55" t="s">
        <v>96</v>
      </c>
    </row>
    <row r="33" spans="1:10" ht="18.7" customHeight="1">
      <c r="A33" s="21">
        <v>100</v>
      </c>
      <c r="B33" s="79" t="str">
        <f>INDEX(menues!$1:$1048576,$A33,sprache)</f>
        <v>Eigenverbrauch der Anlage</v>
      </c>
      <c r="C33" s="66">
        <v>0</v>
      </c>
      <c r="D33" s="22"/>
      <c r="E33" s="22"/>
      <c r="F33" s="23"/>
      <c r="G33" s="23"/>
      <c r="H33" s="23"/>
      <c r="I33" s="55" t="s">
        <v>96</v>
      </c>
    </row>
    <row r="34" spans="1:10" ht="18.7" customHeight="1">
      <c r="A34" s="21">
        <v>14</v>
      </c>
      <c r="B34" s="79" t="str">
        <f>INDEX(menues!$1:$1048576,$A34,sprache)</f>
        <v>Strom: Verkauf und Verbrauch ausserhalb der Anlage</v>
      </c>
      <c r="C34" s="66">
        <v>0</v>
      </c>
      <c r="D34" s="22"/>
      <c r="E34" s="207" t="e">
        <f>C34/$C$14</f>
        <v>#DIV/0!</v>
      </c>
      <c r="F34" s="23"/>
      <c r="G34" s="23"/>
      <c r="H34" s="23"/>
      <c r="I34" s="55" t="b">
        <f>C34&lt;=(C32-C33)</f>
        <v>1</v>
      </c>
    </row>
    <row r="35" spans="1:10" ht="18.7" customHeight="1">
      <c r="A35" s="21">
        <v>32</v>
      </c>
      <c r="B35" s="95" t="str">
        <f>INDEX(menues!$1:$1048576,$A35,sprache)</f>
        <v>Einspeisung Wärmeverbund / Verteilverluste</v>
      </c>
      <c r="C35" s="66">
        <v>0</v>
      </c>
      <c r="D35" s="67">
        <v>0.20300000000000001</v>
      </c>
      <c r="E35" s="208" t="e">
        <f>C35/C14</f>
        <v>#DIV/0!</v>
      </c>
      <c r="F35" s="23"/>
      <c r="G35" s="23"/>
      <c r="H35" s="23"/>
      <c r="I35" s="54" t="b">
        <f>D35&lt;J35</f>
        <v>0</v>
      </c>
      <c r="J35" s="129">
        <v>0.2</v>
      </c>
    </row>
    <row r="36" spans="1:10" ht="18.7" customHeight="1">
      <c r="A36" s="21">
        <v>43</v>
      </c>
      <c r="B36" s="95" t="str">
        <f>INDEX(menues!$1:$1048576,$A36,sprache)</f>
        <v>Nahwärmenutzung: Verkauf, Verbrauch im Gebäudekomplex</v>
      </c>
      <c r="C36" s="66">
        <v>0</v>
      </c>
      <c r="D36" s="36"/>
      <c r="E36" s="22"/>
      <c r="F36" s="23"/>
      <c r="G36" s="23"/>
      <c r="H36" s="23"/>
      <c r="I36" s="54" t="b">
        <f>SUM(C34:C36,C29)&lt;C14</f>
        <v>0</v>
      </c>
    </row>
    <row r="37" spans="1:10" ht="18.7" customHeight="1">
      <c r="A37" s="21">
        <v>62</v>
      </c>
      <c r="B37" s="95" t="str">
        <f>INDEX(menues!$1:$1048576,$A37,sprache)</f>
        <v>Total Wärmeverkauf (nach Abzug Verteilverluste)</v>
      </c>
      <c r="C37" s="36">
        <f>C36+C35*(1-D35)</f>
        <v>0</v>
      </c>
      <c r="D37" s="36"/>
      <c r="E37" s="207" t="e">
        <f>C37/C14</f>
        <v>#DIV/0!</v>
      </c>
      <c r="F37" s="23"/>
      <c r="G37" s="23"/>
      <c r="H37" s="23"/>
      <c r="I37" s="55" t="s">
        <v>96</v>
      </c>
    </row>
    <row r="38" spans="1:10" ht="18.7" customHeight="1">
      <c r="A38" s="21">
        <v>102</v>
      </c>
      <c r="B38" s="54" t="str">
        <f>INDEX(menues!$1:$1048576,$A38,sprache)</f>
        <v>Gesamtmenge Energieprodukte</v>
      </c>
      <c r="C38" s="36">
        <f>C37+C29+C34</f>
        <v>0</v>
      </c>
      <c r="D38" s="36"/>
      <c r="E38" s="36"/>
      <c r="F38" s="23"/>
      <c r="G38" s="23"/>
      <c r="H38" s="23"/>
      <c r="I38" s="55" t="e">
        <f>C39&lt;1</f>
        <v>#DIV/0!</v>
      </c>
    </row>
    <row r="39" spans="1:10" ht="18.7" customHeight="1">
      <c r="A39" s="21">
        <v>40</v>
      </c>
      <c r="B39" s="54" t="str">
        <f>INDEX(menues!$1:$1048576,$A39,sprache)</f>
        <v>energetischer Wirkungsgrad</v>
      </c>
      <c r="C39" s="45" t="e">
        <f>C38/C14</f>
        <v>#DIV/0!</v>
      </c>
      <c r="D39" s="36"/>
      <c r="E39" s="36"/>
      <c r="F39" s="23"/>
      <c r="G39" s="23"/>
      <c r="H39" s="23"/>
      <c r="I39" s="55" t="e">
        <f>E37&gt;=WärmeMax-(WärmeMax-WärmeMin)/StromMax*E34</f>
        <v>#DIV/0!</v>
      </c>
      <c r="J39" s="129">
        <f>IF(Anlagentyp=1,75%,60%)</f>
        <v>0.6</v>
      </c>
    </row>
    <row r="40" spans="1:10" ht="18.7" customHeight="1">
      <c r="A40" s="21">
        <v>30</v>
      </c>
      <c r="B40" s="136" t="str">
        <f>INDEX(menues!$1:$1048576,$A40,sprache)</f>
        <v>Einfache Distanz Anlage - Ausbringung/Entsorgung</v>
      </c>
      <c r="C40" s="23"/>
      <c r="D40" s="23"/>
      <c r="E40" s="23"/>
      <c r="F40" s="138">
        <f>SUMPRODUCT(D41,F41)</f>
        <v>0</v>
      </c>
      <c r="G40" s="23"/>
      <c r="H40" s="23"/>
      <c r="I40" s="55" t="s">
        <v>96</v>
      </c>
    </row>
    <row r="41" spans="1:10" ht="18.7" customHeight="1">
      <c r="A41" s="21">
        <v>64</v>
      </c>
      <c r="B41" s="136" t="str">
        <f>INDEX(menues!$1:$1048576,$A41,sprache)</f>
        <v>Aschen zur Entsorgung</v>
      </c>
      <c r="C41" s="23"/>
      <c r="D41" s="153">
        <v>0</v>
      </c>
      <c r="E41" s="22"/>
      <c r="F41" s="142">
        <v>100</v>
      </c>
      <c r="G41" s="23"/>
      <c r="H41" s="23"/>
      <c r="I41" s="55" t="s">
        <v>96</v>
      </c>
      <c r="J41" s="21">
        <v>1</v>
      </c>
    </row>
    <row r="42" spans="1:10" ht="18.7" customHeight="1">
      <c r="A42" s="21">
        <v>15</v>
      </c>
      <c r="B42" s="139" t="str">
        <f>INDEX(menues!$1:$1048576,$A42,sprache)</f>
        <v>Resultate:</v>
      </c>
      <c r="C42" s="22" t="str">
        <f>C4</f>
        <v>Beispielanlage</v>
      </c>
      <c r="D42" s="22" t="str">
        <f>Umweltdeklaration!B11</f>
        <v>Prüfwert</v>
      </c>
      <c r="E42" s="22"/>
      <c r="F42" s="140"/>
      <c r="G42" s="140"/>
      <c r="H42" s="140"/>
      <c r="I42" s="55" t="s">
        <v>96</v>
      </c>
    </row>
    <row r="43" spans="1:10" ht="18.7" customHeight="1">
      <c r="A43" s="21">
        <v>29</v>
      </c>
      <c r="B43" s="54" t="str">
        <f>INDEX(menues!$1:$1048576,$A43,sprache)</f>
        <v>EI'99-aggregated, Hierarchist</v>
      </c>
      <c r="C43" s="141">
        <f>Umweltdeklaration!H9</f>
        <v>0</v>
      </c>
      <c r="D43" s="141">
        <f>Umweltdeklaration!D22</f>
        <v>0</v>
      </c>
      <c r="E43" s="181" t="e">
        <f>C43/D43</f>
        <v>#DIV/0!</v>
      </c>
      <c r="F43" s="140"/>
      <c r="G43" s="140"/>
      <c r="H43" s="140"/>
      <c r="I43" s="54" t="e">
        <f>E43&lt;1</f>
        <v>#DIV/0!</v>
      </c>
    </row>
    <row r="44" spans="1:10" ht="18" customHeight="1">
      <c r="B44" s="139" t="e">
        <f ca="1">IF(I44,INDEX(menues!$1:$1048576,26,sprache),INDEX(menues!$1:$1048576,27,sprache))</f>
        <v>#DIV/0!</v>
      </c>
      <c r="C44" s="24"/>
      <c r="D44" s="112"/>
      <c r="E44" s="112"/>
      <c r="F44" s="24"/>
      <c r="G44" s="24"/>
      <c r="H44" s="24"/>
      <c r="I44" s="54" t="e">
        <f ca="1">AND(I3:I43)</f>
        <v>#DIV/0!</v>
      </c>
    </row>
  </sheetData>
  <customSheetViews>
    <customSheetView guid="{5C939B6A-1013-45AD-A8DF-BB176A346893}" scale="70" showPageBreaks="1" fitToPage="1" printArea="1" hiddenRows="1" hiddenColumns="1" topLeftCell="B2">
      <pane ySplit="2" topLeftCell="A15" activePane="bottomLeft" state="frozen"/>
      <selection pane="bottomLeft" activeCell="C35" sqref="C35"/>
      <pageMargins left="0.78740157480314965" right="0.78740157480314965" top="0.78740157480314965" bottom="0.82677165354330717" header="0.51181102362204722" footer="0.51181102362204722"/>
      <printOptions horizontalCentered="1" verticalCentered="1"/>
      <pageSetup paperSize="8" scale="55" orientation="landscape" r:id="rId1"/>
      <headerFooter alignWithMargins="0">
        <oddHeader>&amp;Lnaturemade Star globales Kriterium&amp;C&amp;D&amp;REnergieprodukte aus Holzenergieanlagen</oddHeader>
        <oddFooter>&amp;L(c) ESU-services GmbH&amp;Cwww.esu-services.ch&amp;R&amp;F</oddFooter>
      </headerFooter>
    </customSheetView>
    <customSheetView guid="{1C01E541-8A67-43B5-A788-EC28DF3B36AA}" scale="115" showPageBreaks="1" fitToPage="1" printArea="1" hiddenRows="1" hiddenColumns="1">
      <pane ySplit="2" topLeftCell="A3" activePane="bottomLeft" state="frozen"/>
      <selection pane="bottomLeft" activeCell="F7" sqref="F7"/>
      <pageMargins left="0.78740157480314965" right="0.78740157480314965" top="0.78740157480314965" bottom="0.82677165354330717" header="0.51181102362204722" footer="0.51181102362204722"/>
      <printOptions horizontalCentered="1" verticalCentered="1"/>
      <pageSetup paperSize="8" scale="83" orientation="landscape" r:id="rId2"/>
      <headerFooter alignWithMargins="0">
        <oddHeader>&amp;Lnaturemade Star globales Kriterium&amp;C&amp;D&amp;REnergieprodukte aus Holzenergieanlagen</oddHeader>
        <oddFooter>&amp;L(c) ESU-services GmbH&amp;Cwww.esu-services.ch&amp;R&amp;F</oddFooter>
      </headerFooter>
    </customSheetView>
    <customSheetView guid="{C9BFB6AD-5045-4B3F-B9E0-6BAC6F14C397}" scale="75" fitToPage="1" hiddenRows="1" hiddenColumns="1">
      <pane ySplit="2" topLeftCell="A3" activePane="bottomLeft" state="frozen"/>
      <selection pane="bottomLeft" activeCell="F3" sqref="F3"/>
      <pageMargins left="0.78740157480314965" right="0.78740157480314965" top="0.78740157480314965" bottom="0.82677165354330717" header="0.51181102362204722" footer="0.51181102362204722"/>
      <printOptions horizontalCentered="1" verticalCentered="1"/>
      <pageSetup paperSize="9" scale="55" orientation="landscape" r:id="rId3"/>
      <headerFooter alignWithMargins="0">
        <oddHeader>&amp;Lnaturemade Star globales Kriterium&amp;C&amp;D&amp;REnergieprodukte aus Holzenergieanlagen</oddHeader>
        <oddFooter>&amp;L(c) ESU-services GmbH&amp;Cwww.esu-services.ch&amp;R&amp;F</oddFooter>
      </headerFooter>
    </customSheetView>
    <customSheetView guid="{F7C43961-1B7B-48BF-9520-12F3ACF9DC41}" scale="75" fitToPage="1" hiddenRows="1" hiddenColumns="1">
      <pane ySplit="2" topLeftCell="A3" activePane="bottomLeft" state="frozen"/>
      <selection pane="bottomLeft" activeCell="F3" sqref="F3"/>
      <pageMargins left="0.78740157480314965" right="0.78740157480314965" top="0.78740157480314965" bottom="0.82677165354330717" header="0.51181102362204722" footer="0.51181102362204722"/>
      <printOptions horizontalCentered="1" verticalCentered="1"/>
      <pageSetup paperSize="9" scale="55" orientation="landscape" r:id="rId4"/>
      <headerFooter alignWithMargins="0">
        <oddHeader>&amp;Lnaturemade Star globales Kriterium&amp;C&amp;D&amp;REnergieprodukte aus Holzenergieanlagen</oddHeader>
        <oddFooter>&amp;L(c) ESU-services GmbH&amp;Cwww.esu-services.ch&amp;R&amp;F</oddFooter>
      </headerFooter>
    </customSheetView>
    <customSheetView guid="{CE963BD0-B8F9-4FC5-815A-8B7C4F9130DA}" scale="75" fitToPage="1" hiddenRows="1" hiddenColumns="1">
      <pane ySplit="2" topLeftCell="A3" activePane="bottomLeft" state="frozen"/>
      <selection pane="bottomLeft" activeCell="F3" sqref="F3"/>
      <pageMargins left="0.78740157480314965" right="0.78740157480314965" top="0.78740157480314965" bottom="0.82677165354330717" header="0.51181102362204722" footer="0.51181102362204722"/>
      <printOptions horizontalCentered="1" verticalCentered="1"/>
      <pageSetup paperSize="9" scale="55" orientation="landscape" r:id="rId5"/>
      <headerFooter alignWithMargins="0">
        <oddHeader>&amp;Lnaturemade Star globales Kriterium&amp;C&amp;D&amp;REnergieprodukte aus Holzenergieanlagen</oddHeader>
        <oddFooter>&amp;L(c) ESU-services GmbH&amp;Cwww.esu-services.ch&amp;R&amp;F</oddFooter>
      </headerFooter>
    </customSheetView>
  </customSheetViews>
  <phoneticPr fontId="0" type="noConversion"/>
  <conditionalFormatting sqref="E43">
    <cfRule type="cellIs" dxfId="3" priority="1" stopIfTrue="1" operator="greaterThan">
      <formula>1</formula>
    </cfRule>
    <cfRule type="cellIs" dxfId="2" priority="2" stopIfTrue="1" operator="lessThanOrEqual">
      <formula>1</formula>
    </cfRule>
  </conditionalFormatting>
  <conditionalFormatting sqref="I3:I44">
    <cfRule type="cellIs" dxfId="1" priority="3" stopIfTrue="1" operator="equal">
      <formula>FALSE</formula>
    </cfRule>
    <cfRule type="cellIs" dxfId="0" priority="4" stopIfTrue="1" operator="equal">
      <formula>TRUE</formula>
    </cfRule>
  </conditionalFormatting>
  <hyperlinks>
    <hyperlink ref="D6" location="Info!A12" display="Info!A12" xr:uid="{00000000-0004-0000-0100-000000000000}"/>
  </hyperlinks>
  <printOptions horizontalCentered="1" verticalCentered="1"/>
  <pageMargins left="0.78740157480314965" right="0.78740157480314965" top="0.78740157480314965" bottom="0.82677165354330717" header="0.51181102362204722" footer="0.51181102362204722"/>
  <pageSetup paperSize="8" scale="55" orientation="landscape" r:id="rId6"/>
  <headerFooter alignWithMargins="0">
    <oddHeader>&amp;Lnaturemade Star globales Kriterium&amp;C&amp;D&amp;REnergieprodukte aus Holzenergieanlagen</oddHeader>
    <oddFooter>&amp;L(c) ESU-services GmbH&amp;Cwww.esu-services.ch&amp;R&amp;F</oddFooter>
  </headerFooter>
  <drawing r:id="rId7"/>
  <legacyDrawing r:id="rId8"/>
  <mc:AlternateContent xmlns:mc="http://schemas.openxmlformats.org/markup-compatibility/2006">
    <mc:Choice Requires="x14">
      <controls>
        <mc:AlternateContent xmlns:mc="http://schemas.openxmlformats.org/markup-compatibility/2006">
          <mc:Choice Requires="x14">
            <control shapeId="1026" r:id="rId9" name="Drop Down 2">
              <controlPr defaultSize="0" autoLine="0" autoPict="0">
                <anchor moveWithCells="1">
                  <from>
                    <xdr:col>1</xdr:col>
                    <xdr:colOff>3717985</xdr:colOff>
                    <xdr:row>2</xdr:row>
                    <xdr:rowOff>60385</xdr:rowOff>
                  </from>
                  <to>
                    <xdr:col>3</xdr:col>
                    <xdr:colOff>163902</xdr:colOff>
                    <xdr:row>2</xdr:row>
                    <xdr:rowOff>232913</xdr:rowOff>
                  </to>
                </anchor>
              </controlPr>
            </control>
          </mc:Choice>
        </mc:AlternateContent>
        <mc:AlternateContent xmlns:mc="http://schemas.openxmlformats.org/markup-compatibility/2006">
          <mc:Choice Requires="x14">
            <control shapeId="1029" r:id="rId10" name="Drop Down 5">
              <controlPr defaultSize="0" autoLine="0" autoPict="0">
                <anchor moveWithCells="1">
                  <from>
                    <xdr:col>1</xdr:col>
                    <xdr:colOff>3717985</xdr:colOff>
                    <xdr:row>4</xdr:row>
                    <xdr:rowOff>17253</xdr:rowOff>
                  </from>
                  <to>
                    <xdr:col>4</xdr:col>
                    <xdr:colOff>163902</xdr:colOff>
                    <xdr:row>5</xdr:row>
                    <xdr:rowOff>8626</xdr:rowOff>
                  </to>
                </anchor>
              </controlPr>
            </control>
          </mc:Choice>
        </mc:AlternateContent>
        <mc:AlternateContent xmlns:mc="http://schemas.openxmlformats.org/markup-compatibility/2006">
          <mc:Choice Requires="x14">
            <control shapeId="1030" r:id="rId11" name="Drop Down 6">
              <controlPr defaultSize="0" autoLine="0" autoPict="0">
                <anchor moveWithCells="1">
                  <from>
                    <xdr:col>1</xdr:col>
                    <xdr:colOff>3174521</xdr:colOff>
                    <xdr:row>39</xdr:row>
                    <xdr:rowOff>232913</xdr:rowOff>
                  </from>
                  <to>
                    <xdr:col>3</xdr:col>
                    <xdr:colOff>0</xdr:colOff>
                    <xdr:row>41</xdr:row>
                    <xdr:rowOff>0</xdr:rowOff>
                  </to>
                </anchor>
              </controlPr>
            </control>
          </mc:Choice>
        </mc:AlternateContent>
        <mc:AlternateContent xmlns:mc="http://schemas.openxmlformats.org/markup-compatibility/2006">
          <mc:Choice Requires="x14">
            <control shapeId="1070" r:id="rId12" name="Drop Down 46">
              <controlPr defaultSize="0" autoLine="0" autoPict="0">
                <anchor moveWithCells="1">
                  <from>
                    <xdr:col>5</xdr:col>
                    <xdr:colOff>310551</xdr:colOff>
                    <xdr:row>19</xdr:row>
                    <xdr:rowOff>34506</xdr:rowOff>
                  </from>
                  <to>
                    <xdr:col>6</xdr:col>
                    <xdr:colOff>232913</xdr:colOff>
                    <xdr:row>19</xdr:row>
                    <xdr:rowOff>232913</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3"/>
  <sheetViews>
    <sheetView topLeftCell="B2" zoomScale="99" workbookViewId="0">
      <pane xSplit="11" ySplit="21" topLeftCell="M23" activePane="bottomRight" state="frozen"/>
      <selection activeCell="B2" sqref="B2"/>
      <selection pane="topRight" activeCell="M2" sqref="M2"/>
      <selection pane="bottomLeft" activeCell="B23" sqref="B23"/>
      <selection pane="bottomRight" activeCell="H14" sqref="H14:J14"/>
    </sheetView>
  </sheetViews>
  <sheetFormatPr baseColWidth="10" defaultColWidth="11.375" defaultRowHeight="12.9" outlineLevelRow="1" outlineLevelCol="1"/>
  <cols>
    <col min="1" max="1" width="5.375" style="70" hidden="1" customWidth="1" outlineLevel="1"/>
    <col min="2" max="2" width="29.25" style="70" bestFit="1" customWidth="1" collapsed="1"/>
    <col min="3" max="3" width="15" style="70" bestFit="1" customWidth="1"/>
    <col min="4" max="4" width="13.375" style="70" customWidth="1"/>
    <col min="5" max="5" width="10.625" style="70" customWidth="1"/>
    <col min="6" max="6" width="6.25" style="70" customWidth="1"/>
    <col min="7" max="7" width="15.625" style="182" customWidth="1"/>
    <col min="8" max="8" width="11.625" style="70" customWidth="1"/>
    <col min="9" max="9" width="14" style="70" customWidth="1"/>
    <col min="10" max="10" width="15.625" style="70" customWidth="1"/>
    <col min="11" max="11" width="15.875" style="70" customWidth="1"/>
    <col min="12" max="12" width="12.875" style="70" customWidth="1"/>
    <col min="13" max="16384" width="11.375" style="70"/>
  </cols>
  <sheetData>
    <row r="1" spans="1:12" hidden="1" outlineLevel="1">
      <c r="H1" s="71">
        <v>29</v>
      </c>
      <c r="I1" s="71">
        <v>35</v>
      </c>
      <c r="J1" s="71">
        <v>34</v>
      </c>
      <c r="K1" s="71">
        <v>31</v>
      </c>
    </row>
    <row r="2" spans="1:12" ht="51.65" collapsed="1">
      <c r="A2" s="70">
        <v>29</v>
      </c>
      <c r="B2" s="72" t="str">
        <f>name</f>
        <v>Beispielanlage</v>
      </c>
      <c r="C2" s="73"/>
      <c r="D2" s="74" t="str">
        <f>H2</f>
        <v>EI'99-aggregated, Hierarchist</v>
      </c>
      <c r="E2" s="75" t="s">
        <v>91</v>
      </c>
      <c r="H2" s="76" t="str">
        <f>INDEX(menues!$1:$1048576,H1,sprache)</f>
        <v>EI'99-aggregated, Hierarchist</v>
      </c>
      <c r="I2" s="76" t="str">
        <f>INDEX(menues!$1:$1048576,$I1,sprache)</f>
        <v>Treibhauseffekt 100a 2013</v>
      </c>
      <c r="J2" s="76" t="str">
        <f>INDEX(menues!$1:$1048576,J1,sprache)</f>
        <v>Bedarf nichterneuerbarer energetischer Ressourcen</v>
      </c>
      <c r="K2" s="76" t="str">
        <f>INDEX(menues!$1:$1048576,K1,sprache)</f>
        <v>Umweltbelastungspunkte 2013</v>
      </c>
    </row>
    <row r="3" spans="1:12" ht="13.6">
      <c r="A3" s="70">
        <v>56</v>
      </c>
      <c r="B3" s="73"/>
      <c r="C3" s="75"/>
      <c r="D3" s="75" t="str">
        <f>H3</f>
        <v>Pkt</v>
      </c>
      <c r="E3" s="77"/>
      <c r="H3" s="78" t="s">
        <v>50</v>
      </c>
      <c r="I3" s="78" t="s">
        <v>49</v>
      </c>
      <c r="J3" s="78" t="s">
        <v>48</v>
      </c>
      <c r="K3" s="78" t="s">
        <v>50</v>
      </c>
    </row>
    <row r="4" spans="1:12">
      <c r="A4" s="70">
        <v>46</v>
      </c>
      <c r="B4" s="79" t="str">
        <f>INDEX(menues!$1:$1048576,$A4,sprache)</f>
        <v>eingekaufte Substrate</v>
      </c>
      <c r="C4" s="79"/>
      <c r="D4" s="80"/>
      <c r="E4" s="81" t="e">
        <f t="shared" ref="E4:E9" si="0">H4/H$9</f>
        <v>#DIV/0!</v>
      </c>
      <c r="H4" s="20">
        <f>SUM(LCIA!$C$10:$H$10)</f>
        <v>0</v>
      </c>
      <c r="I4" s="20">
        <f>SUM(LCIA!$C$11:$H$11)</f>
        <v>0</v>
      </c>
      <c r="J4" s="20">
        <f>SUM(LCIA!$C$12:$H$12)</f>
        <v>0</v>
      </c>
      <c r="K4" s="20">
        <f>SUM(LCIA!$C$13:$H$13)</f>
        <v>0</v>
      </c>
    </row>
    <row r="5" spans="1:12">
      <c r="A5" s="70">
        <v>45</v>
      </c>
      <c r="B5" s="79" t="str">
        <f>INDEX(menues!$1:$1048576,$A5,sprache)</f>
        <v>Fremdenergiebedarf</v>
      </c>
      <c r="C5" s="79"/>
      <c r="D5" s="73"/>
      <c r="E5" s="81" t="e">
        <f t="shared" si="0"/>
        <v>#DIV/0!</v>
      </c>
      <c r="H5" s="20">
        <f>SUM(LCIA!$I$10:$L$10)</f>
        <v>0</v>
      </c>
      <c r="I5" s="20">
        <f>SUM(LCIA!$I$11:$L$11)</f>
        <v>0</v>
      </c>
      <c r="J5" s="20">
        <f>SUM(LCIA!$I$12:$L$12)</f>
        <v>0</v>
      </c>
      <c r="K5" s="20">
        <f>SUM(LCIA!$I$13:$L$13)</f>
        <v>0</v>
      </c>
    </row>
    <row r="6" spans="1:12">
      <c r="A6" s="70">
        <v>47</v>
      </c>
      <c r="B6" s="79" t="str">
        <f>INDEX(menues!$1:$1048576,$A6,sprache)</f>
        <v>Transporte</v>
      </c>
      <c r="C6" s="79"/>
      <c r="D6" s="73"/>
      <c r="E6" s="81" t="e">
        <f t="shared" si="0"/>
        <v>#DIV/0!</v>
      </c>
      <c r="H6" s="20">
        <f>SUM(LCIA!$M$10:$P$10)</f>
        <v>0</v>
      </c>
      <c r="I6" s="20">
        <f>SUM(LCIA!$M$11:$P$11)</f>
        <v>0</v>
      </c>
      <c r="J6" s="20">
        <f>SUM(LCIA!$M$12:$P$12)</f>
        <v>0</v>
      </c>
      <c r="K6" s="20">
        <f>SUM(LCIA!$M$13:$P$13)</f>
        <v>0</v>
      </c>
    </row>
    <row r="7" spans="1:12">
      <c r="A7" s="70">
        <v>48</v>
      </c>
      <c r="B7" s="79" t="str">
        <f>INDEX(menues!$1:$1048576,$A7,sprache)</f>
        <v>Verbrennung, Verteilung</v>
      </c>
      <c r="C7" s="79"/>
      <c r="D7" s="73"/>
      <c r="E7" s="81" t="e">
        <f t="shared" si="0"/>
        <v>#DIV/0!</v>
      </c>
      <c r="H7" s="20">
        <f>SUM(LCIA!$Q$10:$AD$10)</f>
        <v>0</v>
      </c>
      <c r="I7" s="20">
        <f>SUM(LCIA!$Q$11:$AD$11)</f>
        <v>0</v>
      </c>
      <c r="J7" s="20">
        <f>SUM(LCIA!$Q$12:$AD$12)</f>
        <v>0</v>
      </c>
      <c r="K7" s="20">
        <f>SUM(LCIA!$Q$13:$AD$13)</f>
        <v>0</v>
      </c>
    </row>
    <row r="8" spans="1:12">
      <c r="A8" s="70">
        <v>64</v>
      </c>
      <c r="B8" s="79" t="str">
        <f>INDEX(menues!$1:$1048576,$A8,sprache)</f>
        <v>Aschen zur Entsorgung</v>
      </c>
      <c r="C8" s="79"/>
      <c r="D8" s="73"/>
      <c r="E8" s="81" t="e">
        <f t="shared" si="0"/>
        <v>#DIV/0!</v>
      </c>
      <c r="H8" s="20">
        <f>SUM(LCIA!$AE$10:$AI$10)</f>
        <v>0</v>
      </c>
      <c r="I8" s="20">
        <f>SUM(LCIA!$AE$11:$AI$11)</f>
        <v>0</v>
      </c>
      <c r="J8" s="20">
        <f>SUM(LCIA!$AE$12:$AI$12)</f>
        <v>0</v>
      </c>
      <c r="K8" s="20">
        <f>SUM(LCIA!$AE$13:$AI$13)</f>
        <v>0</v>
      </c>
    </row>
    <row r="9" spans="1:12" ht="13.6">
      <c r="A9" s="70">
        <v>17</v>
      </c>
      <c r="B9" s="82" t="str">
        <f>INDEX(menues!$1:$1048576,$A9,sprache)</f>
        <v>Total</v>
      </c>
      <c r="C9" s="82"/>
      <c r="D9" s="73"/>
      <c r="E9" s="77" t="e">
        <f t="shared" si="0"/>
        <v>#DIV/0!</v>
      </c>
      <c r="H9" s="17">
        <f>SUM(H4:H8)</f>
        <v>0</v>
      </c>
      <c r="I9" s="17">
        <f>SUM(I4:I8)</f>
        <v>0</v>
      </c>
      <c r="J9" s="17">
        <f>SUM(J4:J8)</f>
        <v>0</v>
      </c>
      <c r="K9" s="17">
        <f>SUM(K4:K8)</f>
        <v>0</v>
      </c>
    </row>
    <row r="10" spans="1:12" s="83" customFormat="1" ht="13.6">
      <c r="A10" s="83">
        <v>49</v>
      </c>
      <c r="C10" s="84"/>
      <c r="D10" s="85"/>
      <c r="E10" s="86"/>
      <c r="G10" s="183"/>
    </row>
    <row r="11" spans="1:12" ht="13.6">
      <c r="A11" s="70">
        <v>56</v>
      </c>
      <c r="B11" s="87" t="str">
        <f>INDEX(menues!$1:$1048576,$A11,sprache)</f>
        <v>Prüfwert</v>
      </c>
      <c r="C11" s="88" t="str">
        <f>B9</f>
        <v>Total</v>
      </c>
      <c r="D11" s="89"/>
      <c r="E11" s="90"/>
      <c r="G11" s="184" t="str">
        <f>name</f>
        <v>Beispielanlage</v>
      </c>
      <c r="H11" s="91"/>
      <c r="I11" s="92"/>
      <c r="J11" s="92"/>
      <c r="K11" s="93" t="str">
        <f>INDEX(menues!$1:$1048576,$A10,sprache)</f>
        <v>Umweltdeklaration</v>
      </c>
    </row>
    <row r="12" spans="1:12" ht="13.6">
      <c r="B12" s="87"/>
      <c r="C12" s="88" t="s">
        <v>90</v>
      </c>
      <c r="D12" s="90"/>
      <c r="E12" s="90"/>
      <c r="G12" s="185"/>
      <c r="H12" s="25" t="str">
        <f>H3</f>
        <v>Pkt</v>
      </c>
      <c r="I12" s="25" t="str">
        <f>I3</f>
        <v>kg CO2-eq</v>
      </c>
      <c r="J12" s="25" t="str">
        <f>J3</f>
        <v>MJ-eq</v>
      </c>
      <c r="K12" s="94" t="str">
        <f>K3</f>
        <v>Pkt</v>
      </c>
    </row>
    <row r="13" spans="1:12">
      <c r="A13" s="70">
        <v>51</v>
      </c>
      <c r="B13" s="95" t="str">
        <f>INDEX(menues!$1:$1048576,$A13,sprache)</f>
        <v>Grenzwert Strom</v>
      </c>
      <c r="C13" s="96">
        <f>INDEX(Prüfwert!$1:$1048576,8,MATCH($A13,Prüfwert!$1:$1,0))</f>
        <v>0</v>
      </c>
      <c r="D13" s="49">
        <f>INDEX(Prüfwert!$1:$1048576,10,MATCH($A13,Prüfwert!$1:$1,0))</f>
        <v>0</v>
      </c>
      <c r="E13" s="97" t="e">
        <f t="shared" ref="E13:E22" si="1">D13/D$22</f>
        <v>#DIV/0!</v>
      </c>
      <c r="G13" s="185" t="str">
        <f>REPLACE(B13,1,10,"")&amp;", kWh"</f>
        <v>Strom, kWh</v>
      </c>
      <c r="H13" s="98">
        <f t="shared" ref="H13:K15" si="2">IF($C13&gt;0,$E13*H$9/$C13,0)</f>
        <v>0</v>
      </c>
      <c r="I13" s="98">
        <f t="shared" si="2"/>
        <v>0</v>
      </c>
      <c r="J13" s="99">
        <f t="shared" si="2"/>
        <v>0</v>
      </c>
      <c r="K13" s="100">
        <f t="shared" si="2"/>
        <v>0</v>
      </c>
    </row>
    <row r="14" spans="1:12">
      <c r="A14" s="70">
        <v>52</v>
      </c>
      <c r="B14" s="95" t="str">
        <f>INDEX(menues!$1:$1048576,$A14,sprache)</f>
        <v>Grenzwert Wärme</v>
      </c>
      <c r="C14" s="96">
        <f>INDEX(Prüfwert!$1:$1048576,8,MATCH($A14,Prüfwert!$1:$1,0))</f>
        <v>0</v>
      </c>
      <c r="D14" s="49">
        <f>INDEX(Prüfwert!$1:$1048576,10,MATCH($A14,Prüfwert!$1:$1,0))</f>
        <v>0</v>
      </c>
      <c r="E14" s="97" t="e">
        <f t="shared" si="1"/>
        <v>#DIV/0!</v>
      </c>
      <c r="G14" s="185" t="str">
        <f>REPLACE(B14,1,10,"")&amp;", kWh"</f>
        <v>Wärme, kWh</v>
      </c>
      <c r="H14" s="98">
        <f t="shared" si="2"/>
        <v>0</v>
      </c>
      <c r="I14" s="98">
        <f t="shared" si="2"/>
        <v>0</v>
      </c>
      <c r="J14" s="99">
        <f t="shared" si="2"/>
        <v>0</v>
      </c>
      <c r="K14" s="206">
        <f>IF($C14&gt;0,$E14*K$9/$C14,0)</f>
        <v>0</v>
      </c>
    </row>
    <row r="15" spans="1:12">
      <c r="A15" s="70">
        <v>53</v>
      </c>
      <c r="B15" s="95" t="str">
        <f>INDEX(menues!$1:$1048576,$A15,sprache)</f>
        <v>Grenzwert Methan</v>
      </c>
      <c r="C15" s="96">
        <f>INDEX(Prüfwert!$1:$1048576,8,MATCH($A15,Prüfwert!$1:$1,0))</f>
        <v>0</v>
      </c>
      <c r="D15" s="49">
        <f>INDEX(Prüfwert!$1:$1048576,10,MATCH($A15,Prüfwert!$1:$1,0))</f>
        <v>0</v>
      </c>
      <c r="E15" s="97" t="e">
        <f t="shared" si="1"/>
        <v>#DIV/0!</v>
      </c>
      <c r="G15" s="186" t="str">
        <f>REPLACE(B15,1,10,"")&amp;", kWh"</f>
        <v>Methan, kWh</v>
      </c>
      <c r="H15" s="101">
        <f t="shared" si="2"/>
        <v>0</v>
      </c>
      <c r="I15" s="101">
        <f t="shared" si="2"/>
        <v>0</v>
      </c>
      <c r="J15" s="102">
        <f t="shared" si="2"/>
        <v>0</v>
      </c>
      <c r="K15" s="103">
        <f t="shared" si="2"/>
        <v>0</v>
      </c>
    </row>
    <row r="16" spans="1:12" outlineLevel="1">
      <c r="A16" s="70">
        <v>54</v>
      </c>
      <c r="B16" s="95" t="str">
        <f>INDEX(menues!$1:$1048576,$A16,sprache)</f>
        <v>Referenz Entsorgung</v>
      </c>
      <c r="C16" s="104">
        <f>INDEX(Prüfwert!$1:$1048576,8,MATCH($A16,Prüfwert!$1:$1,0))</f>
        <v>0</v>
      </c>
      <c r="D16" s="49">
        <f>INDEX(Prüfwert!$1:$1048576,10,MATCH($A16,Prüfwert!$1:$1,0))</f>
        <v>0</v>
      </c>
      <c r="E16" s="97" t="e">
        <f t="shared" si="1"/>
        <v>#DIV/0!</v>
      </c>
      <c r="I16" s="105"/>
      <c r="J16" s="105"/>
      <c r="K16" s="105"/>
      <c r="L16" s="105"/>
    </row>
    <row r="17" spans="1:12" outlineLevel="1">
      <c r="A17" s="70">
        <v>88</v>
      </c>
      <c r="B17" s="95" t="str">
        <f>INDEX(menues!$1:$1048576,$A17,sprache)</f>
        <v>Referenz Güllelager</v>
      </c>
      <c r="C17" s="106">
        <f>INDEX(Prüfwert!$1:$1048576,4,MATCH($A17,Prüfwert!$1:$1,0))</f>
        <v>0</v>
      </c>
      <c r="D17" s="49">
        <f>INDEX(Prüfwert!$1:$1048576,10,MATCH($A17,Prüfwert!$1:$1,0))</f>
        <v>0</v>
      </c>
      <c r="E17" s="97" t="e">
        <f t="shared" si="1"/>
        <v>#DIV/0!</v>
      </c>
      <c r="L17" s="105"/>
    </row>
    <row r="18" spans="1:12" outlineLevel="1">
      <c r="A18" s="70">
        <v>89</v>
      </c>
      <c r="B18" s="95" t="str">
        <f>INDEX(menues!$1:$1048576,$A18,sprache)</f>
        <v>Referenz Kompost</v>
      </c>
      <c r="C18" s="106">
        <f>INDEX(Prüfwert!$1:$1048576,8,MATCH($A18,Prüfwert!$1:$1,0))</f>
        <v>0</v>
      </c>
      <c r="D18" s="49">
        <f>INDEX(Prüfwert!$1:$1048576,10,MATCH($A18,Prüfwert!$1:$1,0))</f>
        <v>0</v>
      </c>
      <c r="E18" s="97" t="e">
        <f t="shared" si="1"/>
        <v>#DIV/0!</v>
      </c>
      <c r="I18" s="105"/>
      <c r="J18" s="105"/>
      <c r="K18" s="105"/>
      <c r="L18" s="105"/>
    </row>
    <row r="19" spans="1:12" outlineLevel="1">
      <c r="A19" s="70">
        <v>90</v>
      </c>
      <c r="B19" s="95" t="str">
        <f>INDEX(menues!$1:$1048576,$A19,sprache)</f>
        <v>Referenz Frischklärschlamm</v>
      </c>
      <c r="C19" s="106">
        <f>INDEX(Prüfwert!$1:$1048576,5,MATCH($A19,Prüfwert!$1:$1,0))</f>
        <v>0</v>
      </c>
      <c r="D19" s="49">
        <f>INDEX(Prüfwert!$1:$1048576,10,MATCH($A19,Prüfwert!$1:$1,0))</f>
        <v>0</v>
      </c>
      <c r="E19" s="97" t="e">
        <f t="shared" si="1"/>
        <v>#DIV/0!</v>
      </c>
    </row>
    <row r="20" spans="1:12" outlineLevel="1">
      <c r="A20" s="70">
        <v>101</v>
      </c>
      <c r="B20" s="95">
        <f>INDEX(menues!$1:$1048576,$A20,sprache)</f>
        <v>0</v>
      </c>
      <c r="C20" s="106">
        <f>INDEX(Prüfwert!$1:$1048576,5,MATCH($A20,Prüfwert!$1:$1,0))</f>
        <v>0</v>
      </c>
      <c r="D20" s="49">
        <f>INDEX(Prüfwert!$1:$1048576,10,MATCH($A20,Prüfwert!$1:$1,0))</f>
        <v>0</v>
      </c>
      <c r="E20" s="97" t="e">
        <f t="shared" si="1"/>
        <v>#DIV/0!</v>
      </c>
    </row>
    <row r="21" spans="1:12" outlineLevel="1">
      <c r="A21" s="70">
        <v>63</v>
      </c>
      <c r="B21" s="95" t="str">
        <f>INDEX(menues!$1:$1048576,$A21,sprache)</f>
        <v>Referenz direkte Emissionen</v>
      </c>
      <c r="C21" s="106"/>
      <c r="D21" s="49">
        <f>INDEX(Prüfwert!$1:$1048576,10,MATCH($A21,Prüfwert!$1:$1,0))</f>
        <v>0</v>
      </c>
      <c r="E21" s="97" t="e">
        <f t="shared" si="1"/>
        <v>#DIV/0!</v>
      </c>
    </row>
    <row r="22" spans="1:12" ht="13.6">
      <c r="A22" s="70">
        <v>17</v>
      </c>
      <c r="B22" s="87" t="str">
        <f>INDEX(menues!$1:$1048576,$A22,sprache)</f>
        <v>Total</v>
      </c>
      <c r="C22" s="87"/>
      <c r="D22" s="48">
        <f>SUM(D13:D21)</f>
        <v>0</v>
      </c>
      <c r="E22" s="90" t="e">
        <f t="shared" si="1"/>
        <v>#DIV/0!</v>
      </c>
      <c r="L22" s="83"/>
    </row>
    <row r="23" spans="1:12">
      <c r="L23" s="28"/>
    </row>
  </sheetData>
  <customSheetViews>
    <customSheetView guid="{5C939B6A-1013-45AD-A8DF-BB176A346893}" scale="99" showPageBreaks="1" printArea="1" hiddenRows="1" hiddenColumns="1" topLeftCell="B2">
      <pane xSplit="11" ySplit="21" topLeftCell="M23" activePane="bottomRight" state="frozen"/>
      <selection pane="bottomRight" activeCell="B25" sqref="B25"/>
      <pageMargins left="0.78740157480314965" right="0.78740157480314965" top="0.98425196850393704" bottom="0.98425196850393704" header="0.51181102362204722" footer="0.51181102362204722"/>
      <printOptions horizontalCentered="1" verticalCentered="1"/>
      <pageSetup paperSize="8" scale="120" orientation="landscape" r:id="rId1"/>
      <headerFooter alignWithMargins="0">
        <oddHeader>&amp;LUmweltdeklaration&amp;C&amp;D&amp;Rnaturemade Star Energieprodukte</oddHeader>
        <oddFooter>&amp;L(c) ESU-services GmbH&amp;Cwww.esu-services.ch&amp;R&amp;F</oddFooter>
      </headerFooter>
    </customSheetView>
    <customSheetView guid="{1C01E541-8A67-43B5-A788-EC28DF3B36AA}" scale="99" showPageBreaks="1" printArea="1" hiddenRows="1" hiddenColumns="1" topLeftCell="A2">
      <pane xSplit="11" ySplit="21" topLeftCell="L23" activePane="bottomRight" state="frozen"/>
      <selection pane="bottomRight" activeCell="G38" sqref="G38"/>
      <pageMargins left="0.78740157480314965" right="0.78740157480314965" top="0.98425196850393704" bottom="0.98425196850393704" header="0.51181102362204722" footer="0.51181102362204722"/>
      <printOptions horizontalCentered="1" verticalCentered="1"/>
      <pageSetup paperSize="8" scale="120" orientation="landscape" r:id="rId2"/>
      <headerFooter alignWithMargins="0">
        <oddHeader>&amp;LUmweltdeklaration&amp;C&amp;D&amp;Rnaturemade Star Energieprodukte</oddHeader>
        <oddFooter>&amp;L(c) ESU-services GmbH&amp;Cwww.esu-services.ch&amp;R&amp;F</oddFooter>
      </headerFooter>
    </customSheetView>
    <customSheetView guid="{C9BFB6AD-5045-4B3F-B9E0-6BAC6F14C397}" scale="99" fitToPage="1" hiddenRows="1" hiddenColumns="1" topLeftCell="A2">
      <pane xSplit="10.3" ySplit="21" topLeftCell="L23" activePane="bottomRight" state="frozen"/>
      <selection pane="bottomRight" activeCell="A32" sqref="A32"/>
      <pageMargins left="0.78740157480314965" right="0.78740157480314965" top="0.98425196850393704" bottom="0.98425196850393704" header="0.51181102362204722" footer="0.51181102362204722"/>
      <printOptions horizontalCentered="1" verticalCentered="1"/>
      <pageSetup paperSize="9" scale="86" orientation="landscape" r:id="rId3"/>
      <headerFooter alignWithMargins="0">
        <oddHeader>&amp;LUmweltdeklaration&amp;C&amp;D&amp;Rnaturemade Star Energieprodukte</oddHeader>
        <oddFooter>&amp;L(c) ESU-services GmbH&amp;Cwww.esu-services.ch&amp;R&amp;F</oddFooter>
      </headerFooter>
    </customSheetView>
    <customSheetView guid="{F7C43961-1B7B-48BF-9520-12F3ACF9DC41}" scale="99" fitToPage="1" hiddenRows="1" hiddenColumns="1" topLeftCell="A2">
      <pane xSplit="11" ySplit="21" topLeftCell="L23" activePane="bottomRight" state="frozen"/>
      <selection pane="bottomRight" activeCell="A32" sqref="A32"/>
      <pageMargins left="0.78740157480314965" right="0.78740157480314965" top="0.98425196850393704" bottom="0.98425196850393704" header="0.51181102362204722" footer="0.51181102362204722"/>
      <printOptions horizontalCentered="1" verticalCentered="1"/>
      <pageSetup paperSize="9" scale="86" orientation="landscape" r:id="rId4"/>
      <headerFooter alignWithMargins="0">
        <oddHeader>&amp;LUmweltdeklaration&amp;C&amp;D&amp;Rnaturemade Star Energieprodukte</oddHeader>
        <oddFooter>&amp;L(c) ESU-services GmbH&amp;Cwww.esu-services.ch&amp;R&amp;F</oddFooter>
      </headerFooter>
    </customSheetView>
    <customSheetView guid="{CE963BD0-B8F9-4FC5-815A-8B7C4F9130DA}" scale="99" fitToPage="1" hiddenRows="1" hiddenColumns="1" topLeftCell="A2">
      <pane xSplit="11" ySplit="21" topLeftCell="L23" activePane="bottomRight" state="frozen"/>
      <selection pane="bottomRight" activeCell="A32" sqref="A32"/>
      <pageMargins left="0.78740157480314965" right="0.78740157480314965" top="0.98425196850393704" bottom="0.98425196850393704" header="0.51181102362204722" footer="0.51181102362204722"/>
      <printOptions horizontalCentered="1" verticalCentered="1"/>
      <pageSetup paperSize="9" scale="86" orientation="landscape" r:id="rId5"/>
      <headerFooter alignWithMargins="0">
        <oddHeader>&amp;LUmweltdeklaration&amp;C&amp;D&amp;Rnaturemade Star Energieprodukte</oddHeader>
        <oddFooter>&amp;L(c) ESU-services GmbH&amp;Cwww.esu-services.ch&amp;R&amp;F</oddFooter>
      </headerFooter>
    </customSheetView>
  </customSheetViews>
  <phoneticPr fontId="0" type="noConversion"/>
  <printOptions horizontalCentered="1" verticalCentered="1"/>
  <pageMargins left="0.78740157480314965" right="0.78740157480314965" top="0.98425196850393704" bottom="0.98425196850393704" header="0.51181102362204722" footer="0.51181102362204722"/>
  <pageSetup paperSize="8" scale="120" orientation="landscape" r:id="rId6"/>
  <headerFooter alignWithMargins="0">
    <oddHeader>&amp;LUmweltdeklaration&amp;C&amp;D&amp;Rnaturemade Star Energieprodukte</oddHeader>
    <oddFooter>&amp;L(c) ESU-services GmbH&amp;Cwww.esu-services.ch&amp;R&amp;F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22"/>
  <sheetViews>
    <sheetView workbookViewId="0">
      <selection activeCell="J27" sqref="J27"/>
    </sheetView>
  </sheetViews>
  <sheetFormatPr baseColWidth="10" defaultColWidth="11.375" defaultRowHeight="12.9"/>
  <cols>
    <col min="1" max="1" width="58.25" style="3" bestFit="1" customWidth="1"/>
    <col min="2" max="2" width="6.375" style="3" bestFit="1" customWidth="1"/>
    <col min="3" max="3" width="9.375" style="3" bestFit="1" customWidth="1"/>
    <col min="4" max="4" width="10.625" style="3" bestFit="1" customWidth="1"/>
    <col min="5" max="5" width="11.125" style="3" customWidth="1"/>
    <col min="6" max="6" width="10.125" style="3" bestFit="1" customWidth="1"/>
    <col min="7" max="7" width="11.125" style="3" bestFit="1" customWidth="1"/>
    <col min="8" max="16384" width="11.375" style="3"/>
  </cols>
  <sheetData>
    <row r="1" spans="1:14" ht="25.85">
      <c r="A1" s="148"/>
      <c r="B1" s="148"/>
      <c r="C1" s="149" t="s">
        <v>171</v>
      </c>
      <c r="D1" s="149" t="s">
        <v>184</v>
      </c>
      <c r="E1" s="149" t="s">
        <v>185</v>
      </c>
      <c r="F1" s="149" t="s">
        <v>186</v>
      </c>
      <c r="G1" s="149" t="s">
        <v>172</v>
      </c>
    </row>
    <row r="2" spans="1:14">
      <c r="A2" s="150" t="s">
        <v>188</v>
      </c>
      <c r="B2" s="148" t="s">
        <v>170</v>
      </c>
      <c r="C2" s="149" t="s">
        <v>173</v>
      </c>
      <c r="D2" s="149" t="s">
        <v>173</v>
      </c>
      <c r="E2" s="149" t="s">
        <v>174</v>
      </c>
      <c r="F2" s="149" t="s">
        <v>175</v>
      </c>
      <c r="G2" s="149" t="s">
        <v>175</v>
      </c>
    </row>
    <row r="3" spans="1:14" ht="17">
      <c r="A3" s="150" t="s">
        <v>182</v>
      </c>
      <c r="B3" s="148" t="s">
        <v>176</v>
      </c>
      <c r="C3" s="148">
        <v>250</v>
      </c>
      <c r="D3" s="148">
        <v>250</v>
      </c>
      <c r="E3" s="148">
        <v>250</v>
      </c>
      <c r="F3" s="148">
        <v>250</v>
      </c>
      <c r="G3" s="151">
        <v>150</v>
      </c>
    </row>
    <row r="4" spans="1:14" ht="14.95">
      <c r="A4" s="150" t="s">
        <v>187</v>
      </c>
      <c r="B4" s="148" t="s">
        <v>176</v>
      </c>
      <c r="C4" s="148" t="s">
        <v>177</v>
      </c>
      <c r="D4" s="151">
        <v>150</v>
      </c>
      <c r="E4" s="151">
        <v>20</v>
      </c>
      <c r="F4" s="151">
        <v>20</v>
      </c>
      <c r="G4" s="151">
        <v>10</v>
      </c>
    </row>
    <row r="5" spans="1:14" ht="14.95">
      <c r="A5" s="150" t="s">
        <v>180</v>
      </c>
      <c r="B5" s="148" t="s">
        <v>176</v>
      </c>
      <c r="C5" s="148" t="s">
        <v>177</v>
      </c>
      <c r="D5" s="151">
        <v>50</v>
      </c>
      <c r="E5" s="151">
        <v>20</v>
      </c>
      <c r="F5" s="151">
        <v>20</v>
      </c>
      <c r="G5" s="151">
        <v>10</v>
      </c>
    </row>
    <row r="6" spans="1:14" ht="14.95">
      <c r="A6" s="150" t="s">
        <v>181</v>
      </c>
      <c r="B6" s="148" t="s">
        <v>176</v>
      </c>
      <c r="C6" s="148">
        <v>1000</v>
      </c>
      <c r="D6" s="151">
        <v>1000</v>
      </c>
      <c r="E6" s="151">
        <v>500</v>
      </c>
      <c r="F6" s="151">
        <v>250</v>
      </c>
      <c r="G6" s="151">
        <v>150</v>
      </c>
    </row>
    <row r="7" spans="1:14" ht="14.95">
      <c r="A7" s="150" t="s">
        <v>180</v>
      </c>
      <c r="B7" s="148" t="s">
        <v>176</v>
      </c>
      <c r="C7" s="148">
        <v>1000</v>
      </c>
      <c r="D7" s="151">
        <v>500</v>
      </c>
      <c r="E7" s="151">
        <v>500</v>
      </c>
      <c r="F7" s="151">
        <v>250</v>
      </c>
      <c r="G7" s="151">
        <v>150</v>
      </c>
    </row>
    <row r="8" spans="1:14" ht="14.95">
      <c r="A8" s="150" t="s">
        <v>178</v>
      </c>
      <c r="B8" s="148" t="s">
        <v>176</v>
      </c>
      <c r="C8" s="148" t="s">
        <v>177</v>
      </c>
      <c r="D8" s="148" t="s">
        <v>177</v>
      </c>
      <c r="E8" s="148" t="s">
        <v>179</v>
      </c>
      <c r="F8" s="148" t="s">
        <v>179</v>
      </c>
      <c r="G8" s="151">
        <v>50</v>
      </c>
    </row>
    <row r="9" spans="1:14" ht="14.95">
      <c r="A9" s="150" t="s">
        <v>183</v>
      </c>
      <c r="B9" s="148" t="s">
        <v>176</v>
      </c>
      <c r="C9" s="148" t="s">
        <v>177</v>
      </c>
      <c r="D9" s="148" t="s">
        <v>177</v>
      </c>
      <c r="E9" s="148" t="s">
        <v>179</v>
      </c>
      <c r="F9" s="151">
        <v>30</v>
      </c>
      <c r="G9" s="151">
        <v>30</v>
      </c>
    </row>
    <row r="13" spans="1:14" ht="25.85">
      <c r="I13" s="209" t="s">
        <v>462</v>
      </c>
      <c r="J13" s="209" t="s">
        <v>463</v>
      </c>
      <c r="K13" s="209" t="s">
        <v>39</v>
      </c>
      <c r="L13" s="209" t="s">
        <v>464</v>
      </c>
      <c r="M13" s="3" t="s">
        <v>466</v>
      </c>
      <c r="N13" s="3" t="s">
        <v>467</v>
      </c>
    </row>
    <row r="14" spans="1:14">
      <c r="I14" s="210">
        <v>0</v>
      </c>
      <c r="J14" s="210">
        <v>0.75</v>
      </c>
      <c r="K14" s="210">
        <f>SUM(I14:J14)</f>
        <v>0.75</v>
      </c>
      <c r="L14" s="210">
        <f>WärmeMax-(WärmeMax-WärmeMin)/StromMax*I14+I14</f>
        <v>0.75</v>
      </c>
      <c r="M14" s="3" t="b">
        <f>WärmeMax&gt;=WärmeMax-(WärmeMax-WärmeMin)/StromMax*I14</f>
        <v>1</v>
      </c>
      <c r="N14" s="211">
        <f>WärmeMax-(WärmeMax-WärmeMin)/StromMax*I14</f>
        <v>0.75</v>
      </c>
    </row>
    <row r="15" spans="1:14">
      <c r="I15" s="210">
        <v>0.1</v>
      </c>
      <c r="J15" s="210">
        <f>$J$14-($J$14-$J$18)/$I$18*I15</f>
        <v>0.61250000000000004</v>
      </c>
      <c r="K15" s="210">
        <f t="shared" ref="K15:K17" si="0">SUM(I15:J15)</f>
        <v>0.71250000000000002</v>
      </c>
      <c r="L15" s="210">
        <f>WärmeMax-(WärmeMax-WärmeMin)/StromMax*I15+I15</f>
        <v>0.71250000000000002</v>
      </c>
      <c r="M15" s="3" t="b">
        <f>WärmeMax&gt;=WärmeMax-(WärmeMax-WärmeMin)/StromMax*I15</f>
        <v>1</v>
      </c>
      <c r="N15" s="211">
        <f>WärmeMax-(WärmeMax-WärmeMin)/StromMax*I15</f>
        <v>0.61250000000000004</v>
      </c>
    </row>
    <row r="16" spans="1:14">
      <c r="I16" s="210">
        <v>0.2</v>
      </c>
      <c r="J16" s="210">
        <f t="shared" ref="J16:J17" si="1">$J$14-($J$14-$J$18)/$I$18*I16</f>
        <v>0.47499999999999998</v>
      </c>
      <c r="K16" s="210">
        <f t="shared" si="0"/>
        <v>0.67500000000000004</v>
      </c>
      <c r="L16" s="210">
        <f>WärmeMax-(WärmeMax-WärmeMin)/StromMax*I16+I16</f>
        <v>0.67500000000000004</v>
      </c>
      <c r="M16" s="3" t="b">
        <f>WärmeMax&gt;=WärmeMax-(WärmeMax-WärmeMin)/StromMax*I16</f>
        <v>1</v>
      </c>
      <c r="N16" s="211">
        <f>WärmeMax-(WärmeMax-WärmeMin)/StromMax*I16</f>
        <v>0.47499999999999998</v>
      </c>
    </row>
    <row r="17" spans="9:14">
      <c r="I17" s="210">
        <v>0.3</v>
      </c>
      <c r="J17" s="210">
        <f t="shared" si="1"/>
        <v>0.33750000000000002</v>
      </c>
      <c r="K17" s="210">
        <f t="shared" si="0"/>
        <v>0.63749999999999996</v>
      </c>
      <c r="L17" s="210">
        <f>WärmeMax-(WärmeMax-WärmeMin)/StromMax*I17+I17</f>
        <v>0.63749999999999996</v>
      </c>
      <c r="M17" s="3" t="b">
        <f>WärmeMax&gt;=WärmeMax-(WärmeMax-WärmeMin)/StromMax*I17</f>
        <v>1</v>
      </c>
      <c r="N17" s="211">
        <f>WärmeMax-(WärmeMax-WärmeMin)/StromMax*I17</f>
        <v>0.33750000000000002</v>
      </c>
    </row>
    <row r="18" spans="9:14">
      <c r="I18" s="210">
        <v>0.4</v>
      </c>
      <c r="J18" s="210">
        <v>0.2</v>
      </c>
      <c r="K18" s="210">
        <f>SUM(I18:J18)</f>
        <v>0.60000000000000009</v>
      </c>
      <c r="L18" s="210">
        <f>WärmeMax-(WärmeMax-WärmeMin)/StromMax*I18+I18</f>
        <v>0.6</v>
      </c>
      <c r="M18" s="3" t="b">
        <f>WärmeMax&gt;=WärmeMax-(WärmeMax-WärmeMin)/StromMax*I18</f>
        <v>1</v>
      </c>
      <c r="N18" s="211">
        <f>WärmeMax-(WärmeMax-WärmeMin)/StromMax*I18</f>
        <v>0.19999999999999996</v>
      </c>
    </row>
    <row r="19" spans="9:14">
      <c r="I19" s="210"/>
      <c r="J19" s="210"/>
      <c r="K19" s="210"/>
      <c r="L19" s="210"/>
    </row>
    <row r="20" spans="9:14">
      <c r="I20" s="210"/>
      <c r="J20" s="210"/>
      <c r="K20" s="210"/>
      <c r="L20" s="210"/>
    </row>
    <row r="21" spans="9:14">
      <c r="I21" s="210">
        <v>0</v>
      </c>
      <c r="J21" s="210">
        <f t="shared" ref="J21:J22" si="2">$J$14-($J$14-$J$18)/$I$18*I21</f>
        <v>0.75</v>
      </c>
      <c r="K21" s="210">
        <f t="shared" ref="K21" si="3">SUM(I21:J21)</f>
        <v>0.75</v>
      </c>
      <c r="L21" s="210">
        <f>WärmeMax-(WärmeMax-WärmeMin)/StromMax*I21+I21</f>
        <v>0.75</v>
      </c>
    </row>
    <row r="22" spans="9:14">
      <c r="I22" s="210">
        <v>0.4</v>
      </c>
      <c r="J22" s="210">
        <f t="shared" si="2"/>
        <v>0.19999999999999996</v>
      </c>
      <c r="K22" s="210">
        <f t="shared" ref="K22" si="4">SUM(I22:J22)</f>
        <v>0.6</v>
      </c>
      <c r="L22" s="210">
        <f>WärmeMax-(WärmeMax-WärmeMin)/StromMax*I22+I22</f>
        <v>0.6</v>
      </c>
    </row>
  </sheetData>
  <customSheetViews>
    <customSheetView guid="{5C939B6A-1013-45AD-A8DF-BB176A346893}" fitToPage="1">
      <selection activeCell="A32" sqref="A32"/>
      <pageMargins left="0.78740157499999996" right="0.78740157499999996" top="0.984251969" bottom="0.984251969" header="0.4921259845" footer="0.4921259845"/>
      <pageSetup paperSize="9" orientation="landscape" r:id="rId1"/>
      <headerFooter alignWithMargins="0"/>
    </customSheetView>
    <customSheetView guid="{1C01E541-8A67-43B5-A788-EC28DF3B36AA}" fitToPage="1">
      <selection activeCell="A32" sqref="A32"/>
      <pageMargins left="0.78740157499999996" right="0.78740157499999996" top="0.984251969" bottom="0.984251969" header="0.4921259845" footer="0.4921259845"/>
      <pageSetup paperSize="9" orientation="landscape" r:id="rId2"/>
      <headerFooter alignWithMargins="0"/>
    </customSheetView>
    <customSheetView guid="{C9BFB6AD-5045-4B3F-B9E0-6BAC6F14C397}" fitToPage="1">
      <selection activeCell="A32" sqref="A32"/>
      <pageMargins left="0.78740157499999996" right="0.78740157499999996" top="0.984251969" bottom="0.984251969" header="0.4921259845" footer="0.4921259845"/>
      <pageSetup paperSize="9" orientation="landscape" r:id="rId3"/>
      <headerFooter alignWithMargins="0"/>
    </customSheetView>
    <customSheetView guid="{F7C43961-1B7B-48BF-9520-12F3ACF9DC41}" fitToPage="1">
      <selection activeCell="A32" sqref="A32"/>
      <pageMargins left="0.78740157499999996" right="0.78740157499999996" top="0.984251969" bottom="0.984251969" header="0.4921259845" footer="0.4921259845"/>
      <pageSetup paperSize="9" orientation="landscape" r:id="rId4"/>
      <headerFooter alignWithMargins="0"/>
    </customSheetView>
    <customSheetView guid="{CE963BD0-B8F9-4FC5-815A-8B7C4F9130DA}" fitToPage="1">
      <selection activeCell="A32" sqref="A32"/>
      <pageMargins left="0.78740157499999996" right="0.78740157499999996" top="0.984251969" bottom="0.984251969" header="0.4921259845" footer="0.4921259845"/>
      <pageSetup paperSize="9" orientation="landscape" r:id="rId5"/>
      <headerFooter alignWithMargins="0"/>
    </customSheetView>
  </customSheetViews>
  <phoneticPr fontId="0" type="noConversion"/>
  <pageMargins left="0.78740157499999996" right="0.78740157499999996" top="0.984251969" bottom="0.984251969" header="0.4921259845" footer="0.4921259845"/>
  <pageSetup paperSize="9" orientation="landscape" r:id="rId6"/>
  <headerFooter alignWithMargins="0"/>
  <drawing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103"/>
  <sheetViews>
    <sheetView workbookViewId="0">
      <pane ySplit="1" topLeftCell="A42" activePane="bottomLeft" state="frozen"/>
      <selection activeCell="A36" sqref="A36"/>
      <selection pane="bottomLeft" activeCell="B59" sqref="B59"/>
    </sheetView>
  </sheetViews>
  <sheetFormatPr baseColWidth="10" defaultRowHeight="12.9" outlineLevelCol="1"/>
  <cols>
    <col min="1" max="1" width="78.875" style="9" customWidth="1"/>
    <col min="2" max="2" width="83.125" style="189" customWidth="1"/>
    <col min="3" max="4" width="11.375" style="7" hidden="1" customWidth="1" outlineLevel="1"/>
    <col min="5" max="5" width="5.375" customWidth="1" collapsed="1"/>
    <col min="6" max="6" width="44.75" bestFit="1" customWidth="1"/>
  </cols>
  <sheetData>
    <row r="1" spans="1:6" s="6" customFormat="1" ht="13.6">
      <c r="A1" s="8" t="s">
        <v>8</v>
      </c>
      <c r="B1" s="188" t="s">
        <v>9</v>
      </c>
      <c r="C1" s="5" t="s">
        <v>10</v>
      </c>
      <c r="D1" s="5" t="s">
        <v>11</v>
      </c>
      <c r="F1" s="6" t="s">
        <v>12</v>
      </c>
    </row>
    <row r="2" spans="1:6">
      <c r="A2" t="s">
        <v>216</v>
      </c>
      <c r="B2" s="189" t="s">
        <v>249</v>
      </c>
      <c r="E2">
        <v>2</v>
      </c>
      <c r="F2" t="s">
        <v>8</v>
      </c>
    </row>
    <row r="3" spans="1:6">
      <c r="A3" t="s">
        <v>13</v>
      </c>
      <c r="B3" s="189" t="s">
        <v>14</v>
      </c>
      <c r="E3">
        <v>3</v>
      </c>
      <c r="F3" t="s">
        <v>9</v>
      </c>
    </row>
    <row r="4" spans="1:6">
      <c r="A4" t="s">
        <v>41</v>
      </c>
      <c r="B4" s="189" t="s">
        <v>270</v>
      </c>
      <c r="E4">
        <v>4</v>
      </c>
    </row>
    <row r="5" spans="1:6">
      <c r="A5" t="s">
        <v>66</v>
      </c>
      <c r="B5" s="189" t="s">
        <v>223</v>
      </c>
      <c r="E5">
        <v>5</v>
      </c>
    </row>
    <row r="6" spans="1:6">
      <c r="A6" t="s">
        <v>109</v>
      </c>
      <c r="B6" s="189" t="s">
        <v>224</v>
      </c>
      <c r="E6">
        <v>6</v>
      </c>
    </row>
    <row r="7" spans="1:6">
      <c r="A7" t="s">
        <v>15</v>
      </c>
      <c r="B7" s="189" t="s">
        <v>15</v>
      </c>
      <c r="E7">
        <v>7</v>
      </c>
    </row>
    <row r="8" spans="1:6">
      <c r="A8" t="s">
        <v>63</v>
      </c>
      <c r="B8" s="190" t="s">
        <v>250</v>
      </c>
      <c r="E8">
        <v>8</v>
      </c>
    </row>
    <row r="9" spans="1:6">
      <c r="A9" t="s">
        <v>145</v>
      </c>
      <c r="B9" s="189" t="s">
        <v>225</v>
      </c>
      <c r="E9">
        <v>9</v>
      </c>
    </row>
    <row r="10" spans="1:6">
      <c r="A10" t="s">
        <v>105</v>
      </c>
      <c r="B10" s="189" t="s">
        <v>251</v>
      </c>
      <c r="E10">
        <v>10</v>
      </c>
    </row>
    <row r="11" spans="1:6">
      <c r="A11" t="s">
        <v>104</v>
      </c>
      <c r="B11" s="189" t="s">
        <v>281</v>
      </c>
      <c r="E11">
        <v>11</v>
      </c>
    </row>
    <row r="12" spans="1:6">
      <c r="A12" t="s">
        <v>219</v>
      </c>
      <c r="B12" s="189" t="s">
        <v>290</v>
      </c>
      <c r="E12">
        <v>12</v>
      </c>
    </row>
    <row r="13" spans="1:6">
      <c r="A13" t="s">
        <v>123</v>
      </c>
      <c r="B13" s="189" t="s">
        <v>226</v>
      </c>
      <c r="E13">
        <v>13</v>
      </c>
    </row>
    <row r="14" spans="1:6">
      <c r="A14" t="s">
        <v>146</v>
      </c>
      <c r="B14" s="189" t="s">
        <v>227</v>
      </c>
      <c r="E14">
        <v>14</v>
      </c>
    </row>
    <row r="15" spans="1:6">
      <c r="A15" t="s">
        <v>16</v>
      </c>
      <c r="B15" s="189" t="s">
        <v>17</v>
      </c>
      <c r="E15">
        <v>15</v>
      </c>
    </row>
    <row r="16" spans="1:6">
      <c r="A16" s="18" t="s">
        <v>147</v>
      </c>
      <c r="B16" s="189" t="s">
        <v>274</v>
      </c>
      <c r="E16">
        <v>16</v>
      </c>
    </row>
    <row r="17" spans="1:5">
      <c r="A17" t="s">
        <v>39</v>
      </c>
      <c r="B17" s="191" t="s">
        <v>39</v>
      </c>
      <c r="E17">
        <v>17</v>
      </c>
    </row>
    <row r="18" spans="1:5">
      <c r="A18" t="s">
        <v>106</v>
      </c>
      <c r="B18" s="189" t="s">
        <v>228</v>
      </c>
      <c r="E18">
        <v>18</v>
      </c>
    </row>
    <row r="19" spans="1:5">
      <c r="A19" t="s">
        <v>80</v>
      </c>
      <c r="B19" s="189" t="s">
        <v>282</v>
      </c>
      <c r="E19">
        <v>19</v>
      </c>
    </row>
    <row r="20" spans="1:5">
      <c r="A20" t="s">
        <v>85</v>
      </c>
      <c r="B20" s="192" t="s">
        <v>271</v>
      </c>
      <c r="E20">
        <v>20</v>
      </c>
    </row>
    <row r="21" spans="1:5">
      <c r="A21" t="s">
        <v>74</v>
      </c>
      <c r="B21" s="192" t="s">
        <v>229</v>
      </c>
      <c r="E21">
        <v>21</v>
      </c>
    </row>
    <row r="22" spans="1:5">
      <c r="A22" t="s">
        <v>18</v>
      </c>
      <c r="B22" s="192" t="s">
        <v>19</v>
      </c>
      <c r="E22">
        <v>22</v>
      </c>
    </row>
    <row r="23" spans="1:5">
      <c r="A23" t="s">
        <v>121</v>
      </c>
      <c r="B23" s="193" t="s">
        <v>122</v>
      </c>
      <c r="E23">
        <v>23</v>
      </c>
    </row>
    <row r="24" spans="1:5">
      <c r="A24" t="s">
        <v>148</v>
      </c>
      <c r="B24" s="189" t="s">
        <v>252</v>
      </c>
      <c r="E24">
        <v>24</v>
      </c>
    </row>
    <row r="25" spans="1:5">
      <c r="A25" t="s">
        <v>20</v>
      </c>
      <c r="B25" s="189" t="s">
        <v>21</v>
      </c>
      <c r="E25">
        <v>25</v>
      </c>
    </row>
    <row r="26" spans="1:5">
      <c r="A26" t="s">
        <v>58</v>
      </c>
      <c r="B26" s="189" t="s">
        <v>22</v>
      </c>
      <c r="E26">
        <v>26</v>
      </c>
    </row>
    <row r="27" spans="1:5">
      <c r="A27" t="s">
        <v>42</v>
      </c>
      <c r="B27" s="189" t="s">
        <v>23</v>
      </c>
      <c r="E27">
        <v>27</v>
      </c>
    </row>
    <row r="28" spans="1:5">
      <c r="A28" t="s">
        <v>230</v>
      </c>
      <c r="B28" s="194" t="s">
        <v>268</v>
      </c>
      <c r="E28">
        <v>28</v>
      </c>
    </row>
    <row r="29" spans="1:5">
      <c r="A29" t="s">
        <v>24</v>
      </c>
      <c r="B29" s="195" t="s">
        <v>24</v>
      </c>
      <c r="E29">
        <v>29</v>
      </c>
    </row>
    <row r="30" spans="1:5">
      <c r="A30" t="s">
        <v>67</v>
      </c>
      <c r="B30" s="190" t="s">
        <v>253</v>
      </c>
      <c r="E30">
        <v>30</v>
      </c>
    </row>
    <row r="31" spans="1:5">
      <c r="A31" s="204" t="s">
        <v>443</v>
      </c>
      <c r="B31" s="205" t="s">
        <v>444</v>
      </c>
      <c r="E31">
        <v>31</v>
      </c>
    </row>
    <row r="32" spans="1:5">
      <c r="A32" t="s">
        <v>158</v>
      </c>
      <c r="B32" s="189" t="s">
        <v>254</v>
      </c>
      <c r="E32">
        <v>32</v>
      </c>
    </row>
    <row r="33" spans="1:5">
      <c r="A33" t="s">
        <v>25</v>
      </c>
      <c r="B33" s="189" t="s">
        <v>26</v>
      </c>
      <c r="E33">
        <v>33</v>
      </c>
    </row>
    <row r="34" spans="1:5">
      <c r="A34" t="s">
        <v>27</v>
      </c>
      <c r="B34" s="189" t="s">
        <v>28</v>
      </c>
      <c r="E34">
        <v>34</v>
      </c>
    </row>
    <row r="35" spans="1:5">
      <c r="A35" s="204" t="s">
        <v>448</v>
      </c>
      <c r="B35" s="205" t="s">
        <v>449</v>
      </c>
      <c r="E35">
        <v>35</v>
      </c>
    </row>
    <row r="36" spans="1:5">
      <c r="A36" t="s">
        <v>73</v>
      </c>
      <c r="B36" s="191" t="s">
        <v>283</v>
      </c>
      <c r="E36">
        <v>36</v>
      </c>
    </row>
    <row r="37" spans="1:5">
      <c r="A37" t="s">
        <v>108</v>
      </c>
      <c r="B37" s="189" t="s">
        <v>284</v>
      </c>
      <c r="E37">
        <v>37</v>
      </c>
    </row>
    <row r="38" spans="1:5">
      <c r="A38" t="s">
        <v>64</v>
      </c>
      <c r="B38" s="194" t="s">
        <v>287</v>
      </c>
      <c r="E38">
        <v>38</v>
      </c>
    </row>
    <row r="39" spans="1:5">
      <c r="A39" t="s">
        <v>65</v>
      </c>
      <c r="B39" s="194" t="s">
        <v>288</v>
      </c>
      <c r="E39">
        <v>39</v>
      </c>
    </row>
    <row r="40" spans="1:5">
      <c r="A40" t="s">
        <v>162</v>
      </c>
      <c r="B40" s="190" t="s">
        <v>272</v>
      </c>
      <c r="E40">
        <v>40</v>
      </c>
    </row>
    <row r="41" spans="1:5">
      <c r="A41" t="s">
        <v>164</v>
      </c>
      <c r="B41" s="190" t="s">
        <v>255</v>
      </c>
      <c r="E41">
        <v>41</v>
      </c>
    </row>
    <row r="42" spans="1:5">
      <c r="A42" s="18" t="s">
        <v>165</v>
      </c>
      <c r="B42" s="190" t="s">
        <v>231</v>
      </c>
      <c r="E42">
        <v>42</v>
      </c>
    </row>
    <row r="43" spans="1:5">
      <c r="A43" t="s">
        <v>159</v>
      </c>
      <c r="B43" s="189" t="s">
        <v>269</v>
      </c>
      <c r="E43">
        <v>43</v>
      </c>
    </row>
    <row r="44" spans="1:5">
      <c r="A44" t="s">
        <v>375</v>
      </c>
      <c r="B44" s="194" t="s">
        <v>378</v>
      </c>
      <c r="E44">
        <v>44</v>
      </c>
    </row>
    <row r="45" spans="1:5">
      <c r="A45" t="s">
        <v>83</v>
      </c>
      <c r="B45" s="189" t="s">
        <v>291</v>
      </c>
      <c r="E45">
        <v>45</v>
      </c>
    </row>
    <row r="46" spans="1:5">
      <c r="A46" t="s">
        <v>89</v>
      </c>
      <c r="B46" s="189" t="s">
        <v>256</v>
      </c>
      <c r="E46">
        <v>46</v>
      </c>
    </row>
    <row r="47" spans="1:5">
      <c r="A47" t="s">
        <v>34</v>
      </c>
      <c r="B47" s="189" t="s">
        <v>232</v>
      </c>
      <c r="E47">
        <v>47</v>
      </c>
    </row>
    <row r="48" spans="1:5">
      <c r="A48" t="s">
        <v>95</v>
      </c>
      <c r="B48" s="189" t="s">
        <v>233</v>
      </c>
      <c r="E48">
        <v>48</v>
      </c>
    </row>
    <row r="49" spans="1:6">
      <c r="A49" t="s">
        <v>60</v>
      </c>
      <c r="B49" s="189" t="s">
        <v>234</v>
      </c>
      <c r="E49">
        <v>49</v>
      </c>
    </row>
    <row r="50" spans="1:6">
      <c r="A50" t="s">
        <v>38</v>
      </c>
      <c r="B50" s="189" t="s">
        <v>235</v>
      </c>
      <c r="E50">
        <v>50</v>
      </c>
    </row>
    <row r="51" spans="1:6">
      <c r="A51" t="s">
        <v>35</v>
      </c>
      <c r="B51" s="189" t="s">
        <v>257</v>
      </c>
      <c r="E51">
        <v>51</v>
      </c>
    </row>
    <row r="52" spans="1:6">
      <c r="A52" t="s">
        <v>36</v>
      </c>
      <c r="B52" s="189" t="s">
        <v>258</v>
      </c>
      <c r="E52">
        <v>52</v>
      </c>
    </row>
    <row r="53" spans="1:6">
      <c r="A53" t="s">
        <v>37</v>
      </c>
      <c r="B53" s="189" t="s">
        <v>259</v>
      </c>
      <c r="E53">
        <v>53</v>
      </c>
    </row>
    <row r="54" spans="1:6">
      <c r="A54" t="s">
        <v>79</v>
      </c>
      <c r="B54" s="189" t="s">
        <v>292</v>
      </c>
      <c r="E54">
        <v>54</v>
      </c>
    </row>
    <row r="55" spans="1:6">
      <c r="A55" t="s">
        <v>124</v>
      </c>
      <c r="B55" s="189" t="s">
        <v>285</v>
      </c>
      <c r="E55">
        <v>55</v>
      </c>
    </row>
    <row r="56" spans="1:6">
      <c r="A56" t="s">
        <v>59</v>
      </c>
      <c r="B56" s="189" t="s">
        <v>236</v>
      </c>
      <c r="E56">
        <v>56</v>
      </c>
    </row>
    <row r="57" spans="1:6">
      <c r="A57" t="s">
        <v>110</v>
      </c>
      <c r="B57" s="194" t="s">
        <v>237</v>
      </c>
      <c r="E57">
        <v>57</v>
      </c>
      <c r="F57" s="19" t="str">
        <f>INDEX(menues!$1:$1048576,$E57,sprache)</f>
        <v>Holzheizung</v>
      </c>
    </row>
    <row r="58" spans="1:6">
      <c r="A58" t="s">
        <v>112</v>
      </c>
      <c r="B58" s="194" t="s">
        <v>267</v>
      </c>
      <c r="E58">
        <v>58</v>
      </c>
      <c r="F58" s="19" t="str">
        <f>INDEX(menues!$1:$1048576,$E58,sprache)</f>
        <v>WKK Holzverbrennung</v>
      </c>
    </row>
    <row r="59" spans="1:6">
      <c r="A59" t="s">
        <v>113</v>
      </c>
      <c r="B59" s="212" t="s">
        <v>471</v>
      </c>
      <c r="E59">
        <v>59</v>
      </c>
      <c r="F59" s="19" t="str">
        <f>INDEX(menues!$1:$1048576,$E59,sprache)</f>
        <v>WKK Holzverbrennung, ORC</v>
      </c>
    </row>
    <row r="60" spans="1:6">
      <c r="A60" t="s">
        <v>111</v>
      </c>
      <c r="B60" s="196" t="s">
        <v>238</v>
      </c>
      <c r="E60">
        <v>60</v>
      </c>
      <c r="F60" s="19" t="str">
        <f>INDEX(menues!$1:$1048576,$E60,sprache)</f>
        <v>WKK Holzvergasung, Pyroforce</v>
      </c>
    </row>
    <row r="61" spans="1:6">
      <c r="A61" s="19" t="s">
        <v>214</v>
      </c>
      <c r="B61" s="196" t="s">
        <v>239</v>
      </c>
      <c r="E61">
        <v>61</v>
      </c>
      <c r="F61" s="19" t="str">
        <f>INDEX(menues!$1:$1048576,$E61,sprache)</f>
        <v>Holzvergasung, Repotec, Methanisierung</v>
      </c>
    </row>
    <row r="62" spans="1:6">
      <c r="A62" t="s">
        <v>277</v>
      </c>
      <c r="B62" s="196" t="s">
        <v>240</v>
      </c>
      <c r="E62">
        <v>62</v>
      </c>
      <c r="F62" s="19" t="str">
        <f>INDEX(menues!$1:$1048576,$E62,sprache)</f>
        <v>Total Wärmeverkauf (nach Abzug Verteilverluste)</v>
      </c>
    </row>
    <row r="63" spans="1:6">
      <c r="A63" t="s">
        <v>92</v>
      </c>
      <c r="B63" s="189" t="s">
        <v>293</v>
      </c>
      <c r="E63">
        <v>63</v>
      </c>
    </row>
    <row r="64" spans="1:6">
      <c r="A64" t="s">
        <v>125</v>
      </c>
      <c r="B64" s="194" t="s">
        <v>126</v>
      </c>
      <c r="E64">
        <v>64</v>
      </c>
    </row>
    <row r="65" spans="1:7">
      <c r="A65" s="1"/>
      <c r="E65">
        <v>65</v>
      </c>
      <c r="F65" s="19">
        <f>INDEX(menues!$1:$1048576,$E65,sprache)</f>
        <v>0</v>
      </c>
    </row>
    <row r="66" spans="1:7">
      <c r="A66" t="s">
        <v>127</v>
      </c>
      <c r="B66" s="194" t="s">
        <v>128</v>
      </c>
      <c r="E66">
        <v>66</v>
      </c>
      <c r="F66" s="19" t="str">
        <f>INDEX(menues!$1:$1048576,$E66,sprache)</f>
        <v>Kehrichtverbrennungsanlage</v>
      </c>
    </row>
    <row r="67" spans="1:7">
      <c r="A67" t="s">
        <v>160</v>
      </c>
      <c r="B67" s="193" t="s">
        <v>129</v>
      </c>
      <c r="E67">
        <v>67</v>
      </c>
      <c r="F67" s="19" t="str">
        <f>INDEX(menues!$1:$1048576,$E67,sprache)</f>
        <v>Reaktordeponie</v>
      </c>
      <c r="G67" s="35"/>
    </row>
    <row r="68" spans="1:7">
      <c r="A68" t="s">
        <v>161</v>
      </c>
      <c r="B68" s="193" t="s">
        <v>130</v>
      </c>
      <c r="E68">
        <v>68</v>
      </c>
      <c r="F68" s="19" t="str">
        <f>INDEX(menues!$1:$1048576,$E68,sprache)</f>
        <v>Sondermülldeponie (Untertage)</v>
      </c>
    </row>
    <row r="69" spans="1:7">
      <c r="A69" t="s">
        <v>131</v>
      </c>
      <c r="B69" s="193" t="s">
        <v>132</v>
      </c>
      <c r="E69">
        <v>69</v>
      </c>
      <c r="F69" s="19" t="str">
        <f>INDEX(menues!$1:$1048576,$E69,sprache)</f>
        <v>Düngung in der Landwirtschaft</v>
      </c>
    </row>
    <row r="70" spans="1:7">
      <c r="A70"/>
      <c r="B70" s="196"/>
      <c r="E70">
        <v>70</v>
      </c>
    </row>
    <row r="71" spans="1:7">
      <c r="A71"/>
      <c r="E71">
        <v>71</v>
      </c>
      <c r="F71" s="19">
        <f>INDEX(menues!$1:$1048576,$E71,sprache)</f>
        <v>0</v>
      </c>
    </row>
    <row r="72" spans="1:7">
      <c r="A72" t="s">
        <v>376</v>
      </c>
      <c r="B72" s="194" t="s">
        <v>379</v>
      </c>
      <c r="E72">
        <v>72</v>
      </c>
      <c r="F72" s="19" t="str">
        <f>INDEX(menues!$1:$1048576,$E72,sprache)</f>
        <v>Mittlere einfache Transportentfernung, Bahn</v>
      </c>
    </row>
    <row r="73" spans="1:7">
      <c r="A73" t="s">
        <v>377</v>
      </c>
      <c r="B73" s="194" t="s">
        <v>380</v>
      </c>
      <c r="E73">
        <v>73</v>
      </c>
      <c r="F73" s="19" t="str">
        <f>INDEX(menues!$1:$1048576,$E73,sprache)</f>
        <v>Mittlere einfache Transportentfernung, Schiff</v>
      </c>
    </row>
    <row r="74" spans="1:7">
      <c r="A74" t="s">
        <v>163</v>
      </c>
      <c r="B74" s="190" t="s">
        <v>266</v>
      </c>
      <c r="E74">
        <v>74</v>
      </c>
    </row>
    <row r="75" spans="1:7">
      <c r="A75" t="s">
        <v>212</v>
      </c>
      <c r="B75" s="194" t="s">
        <v>115</v>
      </c>
      <c r="E75">
        <v>75</v>
      </c>
    </row>
    <row r="76" spans="1:7">
      <c r="A76" t="s">
        <v>213</v>
      </c>
      <c r="B76" s="194" t="s">
        <v>117</v>
      </c>
      <c r="E76">
        <v>76</v>
      </c>
    </row>
    <row r="77" spans="1:7">
      <c r="A77" t="s">
        <v>155</v>
      </c>
      <c r="B77" s="194" t="s">
        <v>118</v>
      </c>
      <c r="E77">
        <v>77</v>
      </c>
    </row>
    <row r="78" spans="1:7">
      <c r="A78" t="s">
        <v>119</v>
      </c>
      <c r="B78" s="194" t="s">
        <v>120</v>
      </c>
      <c r="E78">
        <v>78</v>
      </c>
    </row>
    <row r="79" spans="1:7">
      <c r="A79" t="s">
        <v>39</v>
      </c>
      <c r="B79" s="194" t="s">
        <v>39</v>
      </c>
      <c r="E79">
        <v>79</v>
      </c>
    </row>
    <row r="80" spans="1:7">
      <c r="A80" t="s">
        <v>138</v>
      </c>
      <c r="B80" s="194" t="s">
        <v>286</v>
      </c>
      <c r="E80">
        <v>80</v>
      </c>
    </row>
    <row r="81" spans="1:8">
      <c r="A81" t="s">
        <v>196</v>
      </c>
      <c r="B81" s="194" t="s">
        <v>260</v>
      </c>
      <c r="E81">
        <v>81</v>
      </c>
    </row>
    <row r="82" spans="1:8">
      <c r="A82" t="s">
        <v>197</v>
      </c>
      <c r="B82" s="194" t="s">
        <v>261</v>
      </c>
      <c r="E82">
        <v>82</v>
      </c>
    </row>
    <row r="83" spans="1:8">
      <c r="A83" t="s">
        <v>198</v>
      </c>
      <c r="B83" s="194" t="s">
        <v>262</v>
      </c>
      <c r="E83">
        <v>83</v>
      </c>
    </row>
    <row r="84" spans="1:8">
      <c r="A84" t="s">
        <v>199</v>
      </c>
      <c r="B84" s="194" t="s">
        <v>263</v>
      </c>
      <c r="E84">
        <v>84</v>
      </c>
    </row>
    <row r="85" spans="1:8">
      <c r="A85" t="s">
        <v>200</v>
      </c>
      <c r="B85" s="194" t="s">
        <v>264</v>
      </c>
      <c r="E85">
        <v>85</v>
      </c>
    </row>
    <row r="86" spans="1:8">
      <c r="A86"/>
      <c r="B86" s="190"/>
      <c r="E86">
        <v>86</v>
      </c>
    </row>
    <row r="87" spans="1:8">
      <c r="A87" t="s">
        <v>275</v>
      </c>
      <c r="B87" s="194" t="s">
        <v>276</v>
      </c>
      <c r="E87">
        <v>87</v>
      </c>
    </row>
    <row r="88" spans="1:8">
      <c r="A88" t="s">
        <v>93</v>
      </c>
      <c r="B88" s="189" t="s">
        <v>294</v>
      </c>
      <c r="E88">
        <v>88</v>
      </c>
      <c r="G88" s="3"/>
      <c r="H88" s="3"/>
    </row>
    <row r="89" spans="1:8">
      <c r="A89" t="s">
        <v>94</v>
      </c>
      <c r="B89" s="189" t="s">
        <v>295</v>
      </c>
      <c r="E89">
        <v>89</v>
      </c>
    </row>
    <row r="90" spans="1:8">
      <c r="A90" t="s">
        <v>86</v>
      </c>
      <c r="B90" s="189" t="s">
        <v>296</v>
      </c>
      <c r="E90">
        <v>90</v>
      </c>
    </row>
    <row r="91" spans="1:8">
      <c r="A91" t="s">
        <v>71</v>
      </c>
      <c r="B91" s="189" t="s">
        <v>265</v>
      </c>
      <c r="E91">
        <v>91</v>
      </c>
    </row>
    <row r="92" spans="1:8">
      <c r="A92"/>
      <c r="E92">
        <v>92</v>
      </c>
    </row>
    <row r="93" spans="1:8">
      <c r="A93" t="s">
        <v>156</v>
      </c>
      <c r="B93" s="189" t="s">
        <v>289</v>
      </c>
      <c r="E93">
        <v>93</v>
      </c>
    </row>
    <row r="94" spans="1:8">
      <c r="A94" s="147" t="s">
        <v>171</v>
      </c>
      <c r="B94" s="189" t="s">
        <v>241</v>
      </c>
      <c r="E94">
        <v>94</v>
      </c>
      <c r="F94" s="19" t="str">
        <f>INDEX(menues!$1:$1048576,$E94,sprache)</f>
        <v>bis 70 kW</v>
      </c>
    </row>
    <row r="95" spans="1:8">
      <c r="A95" s="147" t="s">
        <v>184</v>
      </c>
      <c r="B95" s="189" t="s">
        <v>242</v>
      </c>
      <c r="E95">
        <v>95</v>
      </c>
      <c r="F95" s="19" t="str">
        <f>INDEX(menues!$1:$1048576,$E95,sprache)</f>
        <v>70 kW bis 500 kW</v>
      </c>
    </row>
    <row r="96" spans="1:8">
      <c r="A96" s="147" t="s">
        <v>185</v>
      </c>
      <c r="B96" s="189" t="s">
        <v>243</v>
      </c>
      <c r="E96">
        <v>96</v>
      </c>
      <c r="F96" s="19" t="str">
        <f>INDEX(menues!$1:$1048576,$E96,sprache)</f>
        <v>500 kW bis 1 MW</v>
      </c>
    </row>
    <row r="97" spans="1:6">
      <c r="A97" s="147" t="s">
        <v>186</v>
      </c>
      <c r="B97" s="189" t="s">
        <v>244</v>
      </c>
      <c r="E97">
        <v>97</v>
      </c>
      <c r="F97" s="19" t="str">
        <f>INDEX(menues!$1:$1048576,$E97,sprache)</f>
        <v>1 MW bis 10 MW</v>
      </c>
    </row>
    <row r="98" spans="1:6">
      <c r="A98" s="147" t="s">
        <v>172</v>
      </c>
      <c r="B98" s="189" t="s">
        <v>245</v>
      </c>
      <c r="E98">
        <v>98</v>
      </c>
      <c r="F98" s="19" t="str">
        <f>INDEX(menues!$1:$1048576,$E98,sprache)</f>
        <v>über 10 MW</v>
      </c>
    </row>
    <row r="99" spans="1:6">
      <c r="A99" t="s">
        <v>149</v>
      </c>
      <c r="B99" s="189" t="s">
        <v>246</v>
      </c>
      <c r="E99">
        <v>99</v>
      </c>
    </row>
    <row r="100" spans="1:6">
      <c r="A100" t="s">
        <v>157</v>
      </c>
      <c r="B100" s="189" t="s">
        <v>247</v>
      </c>
      <c r="E100">
        <v>100</v>
      </c>
    </row>
    <row r="101" spans="1:6">
      <c r="A101"/>
      <c r="E101">
        <v>101</v>
      </c>
    </row>
    <row r="102" spans="1:6">
      <c r="A102" t="s">
        <v>201</v>
      </c>
      <c r="B102" s="189" t="s">
        <v>248</v>
      </c>
      <c r="E102">
        <v>102</v>
      </c>
    </row>
    <row r="103" spans="1:6">
      <c r="E103">
        <v>103</v>
      </c>
    </row>
  </sheetData>
  <customSheetViews>
    <customSheetView guid="{5C939B6A-1013-45AD-A8DF-BB176A346893}" fitToPage="1" hiddenColumns="1" state="hidden">
      <pane ySplit="1" topLeftCell="A71" activePane="bottomLeft" state="frozen"/>
      <selection pane="bottomLeft" activeCell="A101" sqref="A101"/>
      <pageMargins left="0.78740157499999996" right="0.78740157499999996" top="0.984251969" bottom="0.984251969" header="0.4921259845" footer="0.4921259845"/>
      <pageSetup paperSize="9" scale="53" orientation="portrait" r:id="rId1"/>
      <headerFooter alignWithMargins="0"/>
    </customSheetView>
    <customSheetView guid="{1C01E541-8A67-43B5-A788-EC28DF3B36AA}" fitToPage="1" hiddenColumns="1" state="hidden">
      <pane ySplit="1" topLeftCell="A71" activePane="bottomLeft" state="frozen"/>
      <selection pane="bottomLeft" activeCell="A101" sqref="A101"/>
      <pageMargins left="0.78740157499999996" right="0.78740157499999996" top="0.984251969" bottom="0.984251969" header="0.4921259845" footer="0.4921259845"/>
      <pageSetup paperSize="9" scale="53" orientation="portrait" r:id="rId2"/>
      <headerFooter alignWithMargins="0"/>
    </customSheetView>
    <customSheetView guid="{C9BFB6AD-5045-4B3F-B9E0-6BAC6F14C397}" fitToPage="1" hiddenColumns="1" state="hidden">
      <pane ySplit="1" topLeftCell="A71" activePane="bottomLeft" state="frozen"/>
      <selection pane="bottomLeft" activeCell="A101" sqref="A101"/>
      <pageMargins left="0.78740157499999996" right="0.78740157499999996" top="0.984251969" bottom="0.984251969" header="0.4921259845" footer="0.4921259845"/>
      <pageSetup paperSize="9" scale="53" orientation="portrait" r:id="rId3"/>
      <headerFooter alignWithMargins="0"/>
    </customSheetView>
    <customSheetView guid="{F7C43961-1B7B-48BF-9520-12F3ACF9DC41}" fitToPage="1" hiddenColumns="1" state="hidden">
      <pane ySplit="1" topLeftCell="A71" activePane="bottomLeft" state="frozen"/>
      <selection pane="bottomLeft" activeCell="A101" sqref="A101"/>
      <pageMargins left="0.78740157499999996" right="0.78740157499999996" top="0.984251969" bottom="0.984251969" header="0.4921259845" footer="0.4921259845"/>
      <pageSetup paperSize="9" scale="53" orientation="portrait" r:id="rId4"/>
      <headerFooter alignWithMargins="0"/>
    </customSheetView>
    <customSheetView guid="{CE963BD0-B8F9-4FC5-815A-8B7C4F9130DA}" fitToPage="1" hiddenColumns="1" state="hidden">
      <pane ySplit="1" topLeftCell="A71" activePane="bottomLeft" state="frozen"/>
      <selection pane="bottomLeft" activeCell="A101" sqref="A101"/>
      <pageMargins left="0.78740157499999996" right="0.78740157499999996" top="0.984251969" bottom="0.984251969" header="0.4921259845" footer="0.4921259845"/>
      <pageSetup paperSize="9" scale="53" orientation="portrait" r:id="rId5"/>
      <headerFooter alignWithMargins="0"/>
    </customSheetView>
  </customSheetViews>
  <phoneticPr fontId="0" type="noConversion"/>
  <pageMargins left="0.78740157499999996" right="0.78740157499999996" top="0.984251969" bottom="0.984251969" header="0.4921259845" footer="0.4921259845"/>
  <pageSetup paperSize="9" scale="53" orientation="portrait" r:id="rId6"/>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I240"/>
  <sheetViews>
    <sheetView workbookViewId="0">
      <pane xSplit="2" ySplit="9" topLeftCell="C149" activePane="bottomRight" state="frozen"/>
      <selection activeCell="A36" sqref="A36"/>
      <selection pane="topRight" activeCell="A36" sqref="A36"/>
      <selection pane="bottomLeft" activeCell="A36" sqref="A36"/>
      <selection pane="bottomRight" activeCell="A36" sqref="A36"/>
    </sheetView>
  </sheetViews>
  <sheetFormatPr baseColWidth="10" defaultRowHeight="12.9" outlineLevelRow="1"/>
  <cols>
    <col min="2" max="2" width="12.75" customWidth="1"/>
    <col min="3" max="3" width="12.875" bestFit="1" customWidth="1"/>
    <col min="4" max="7" width="11.75" bestFit="1" customWidth="1"/>
    <col min="8" max="8" width="11.625" bestFit="1" customWidth="1"/>
    <col min="9" max="9" width="11.875" bestFit="1" customWidth="1"/>
    <col min="10" max="12" width="11.75" bestFit="1" customWidth="1"/>
    <col min="13" max="13" width="12.25" bestFit="1" customWidth="1"/>
    <col min="14" max="15" width="12.25" customWidth="1"/>
    <col min="16" max="16" width="11.625" bestFit="1" customWidth="1"/>
    <col min="17" max="18" width="11.75" bestFit="1" customWidth="1"/>
    <col min="19" max="19" width="11.25" customWidth="1"/>
    <col min="20" max="20" width="11.75" bestFit="1" customWidth="1"/>
    <col min="21" max="21" width="13" customWidth="1"/>
    <col min="22" max="22" width="11.75" bestFit="1" customWidth="1"/>
    <col min="23" max="23" width="13.25" bestFit="1" customWidth="1"/>
    <col min="24" max="29" width="11.625" customWidth="1"/>
    <col min="30" max="30" width="13.25" bestFit="1" customWidth="1"/>
    <col min="31" max="32" width="12.75" bestFit="1" customWidth="1"/>
    <col min="33" max="34" width="11.75" bestFit="1" customWidth="1"/>
    <col min="35" max="35" width="11.625" bestFit="1" customWidth="1"/>
  </cols>
  <sheetData>
    <row r="1" spans="1:35" s="1" customFormat="1">
      <c r="A1" s="1" t="s">
        <v>33</v>
      </c>
      <c r="C1" s="41">
        <v>75</v>
      </c>
      <c r="D1" s="41">
        <v>76</v>
      </c>
      <c r="E1" s="41">
        <v>77</v>
      </c>
      <c r="F1" s="41">
        <v>74</v>
      </c>
      <c r="G1" s="41">
        <v>78</v>
      </c>
      <c r="H1" s="41">
        <v>23</v>
      </c>
      <c r="I1" s="42">
        <v>9</v>
      </c>
      <c r="J1" s="42">
        <v>10</v>
      </c>
      <c r="K1" s="42">
        <v>87</v>
      </c>
      <c r="L1" s="42">
        <v>18</v>
      </c>
      <c r="M1" s="43">
        <v>21</v>
      </c>
      <c r="N1" s="43">
        <v>21</v>
      </c>
      <c r="O1" s="43">
        <v>21</v>
      </c>
      <c r="P1" s="43">
        <v>30</v>
      </c>
      <c r="Q1" s="46">
        <v>24</v>
      </c>
      <c r="R1" s="46">
        <v>16</v>
      </c>
      <c r="S1" s="46">
        <v>21</v>
      </c>
      <c r="T1" s="46">
        <v>21</v>
      </c>
      <c r="U1" s="46">
        <v>21</v>
      </c>
      <c r="V1" s="46">
        <v>21</v>
      </c>
      <c r="W1" s="46">
        <v>21</v>
      </c>
      <c r="X1" s="46"/>
      <c r="Y1" s="46">
        <v>81</v>
      </c>
      <c r="Z1" s="46">
        <v>82</v>
      </c>
      <c r="AA1" s="46">
        <v>83</v>
      </c>
      <c r="AB1" s="46">
        <v>84</v>
      </c>
      <c r="AC1" s="46">
        <v>85</v>
      </c>
      <c r="AD1" s="46">
        <v>32</v>
      </c>
      <c r="AE1" s="119">
        <v>64</v>
      </c>
      <c r="AF1" s="119">
        <v>64</v>
      </c>
      <c r="AG1" s="119">
        <v>64</v>
      </c>
      <c r="AH1" s="119">
        <v>64</v>
      </c>
      <c r="AI1" s="119">
        <v>64</v>
      </c>
    </row>
    <row r="2" spans="1:35" s="1" customFormat="1" ht="65.25">
      <c r="C2" s="114" t="str">
        <f>INDEX(menues!$1:$1048576,C1,sprache)</f>
        <v>Holzschnitzel, Laubbaum</v>
      </c>
      <c r="D2" s="114" t="str">
        <f>INDEX(menues!$1:$1048576,D1,sprache)</f>
        <v>Holzschnitzel, Nadelbaum</v>
      </c>
      <c r="E2" s="114" t="str">
        <f>INDEX(menues!$1:$1048576,E1,sprache)</f>
        <v>Holzschnitzel, Restholz (z.B. aus Sägerei)</v>
      </c>
      <c r="F2" s="114" t="str">
        <f>INDEX(menues!$1:$1048576,F1,sprache)</f>
        <v>Holzpellets</v>
      </c>
      <c r="G2" s="114" t="str">
        <f>INDEX(menues!$1:$1048576,G1,sprache)</f>
        <v>Holzschnitzel, Altholz</v>
      </c>
      <c r="H2" s="114" t="str">
        <f>INDEX(menues!$1:$1048576,H1,sprache)</f>
        <v>Rapsölmethylester</v>
      </c>
      <c r="I2" s="114" t="str">
        <f>INDEX(menues!$1:$1048576,I1,sprache)</f>
        <v>Strombezug aus Netz</v>
      </c>
      <c r="J2" s="114" t="str">
        <f>INDEX(menues!$1:$1048576,J1,sprache)</f>
        <v>Heizölverbrauch</v>
      </c>
      <c r="K2" s="114" t="str">
        <f>INDEX(menues!$1:$1048576,K1,sprache)</f>
        <v>Dieselverbrauch (10 kWh/Liter)</v>
      </c>
      <c r="L2" s="114" t="str">
        <f>INDEX(menues!$1:$1048576,L1,sprache)</f>
        <v>Erdgasverbrauch</v>
      </c>
      <c r="M2" s="114" t="str">
        <f>INDEX(menues!$1:$1048576,M1,sprache)</f>
        <v>Gesamtinputmenge für Anlage</v>
      </c>
      <c r="N2" s="114" t="str">
        <f>INDEX(menues!$1:$1048576,N1,sprache)</f>
        <v>Gesamtinputmenge für Anlage</v>
      </c>
      <c r="O2" s="114" t="str">
        <f>INDEX(menues!$1:$1048576,O1,sprache)</f>
        <v>Gesamtinputmenge für Anlage</v>
      </c>
      <c r="P2" s="114" t="str">
        <f>INDEX(menues!$1:$1048576,P1,sprache)</f>
        <v>Einfache Distanz Anlage - Ausbringung/Entsorgung</v>
      </c>
      <c r="Q2" s="114" t="str">
        <f>INDEX(menues!$1:$1048576,Q1,sprache)</f>
        <v>ungewollte Biogas Verluste (Methanschlupf und Unterbrüche)</v>
      </c>
      <c r="R2" s="114" t="str">
        <f>INDEX(menues!$1:$1048576,R1,sprache)</f>
        <v>Biomethan: Verkauf und Verbrauch ausserhalb der Anlage</v>
      </c>
      <c r="S2" s="114" t="str">
        <f>INDEX(menues!$1:$1048576,S1,sprache)</f>
        <v>Gesamtinputmenge für Anlage</v>
      </c>
      <c r="T2" s="114" t="str">
        <f>INDEX(menues!$1:$1048576,T1,sprache)</f>
        <v>Gesamtinputmenge für Anlage</v>
      </c>
      <c r="U2" s="114" t="str">
        <f>INDEX(menues!$1:$1048576,U1,sprache)</f>
        <v>Gesamtinputmenge für Anlage</v>
      </c>
      <c r="V2" s="114" t="str">
        <f>INDEX(menues!$1:$1048576,V1,sprache)</f>
        <v>Gesamtinputmenge für Anlage</v>
      </c>
      <c r="W2" s="114" t="str">
        <f>INDEX(menues!$1:$1048576,W1,sprache)</f>
        <v>Gesamtinputmenge für Anlage</v>
      </c>
      <c r="X2" s="122" t="s">
        <v>217</v>
      </c>
      <c r="Y2" s="114" t="str">
        <f>INDEX(menues!$1:$1048576,Y1,sprache)</f>
        <v>Stickoxide NOx als NO2 / Emissionsgrenzwerte gemäss LRV</v>
      </c>
      <c r="Z2" s="114" t="str">
        <f>INDEX(menues!$1:$1048576,Z1,sprache)</f>
        <v>Staub (= Feststoffe), PM10 / Emissionsgrenzwerte gemäss LRV</v>
      </c>
      <c r="AA2" s="114" t="str">
        <f>INDEX(menues!$1:$1048576,AA1,sprache)</f>
        <v>Blei / Emissionsgrenzwerte gemäss LRV</v>
      </c>
      <c r="AB2" s="114" t="str">
        <f>INDEX(menues!$1:$1048576,AB1,sprache)</f>
        <v>Cadmium / Emissionsgrenzwerte gemäss LRV</v>
      </c>
      <c r="AC2" s="114" t="str">
        <f>INDEX(menues!$1:$1048576,AC1,sprache)</f>
        <v>Zink / Emissionsgrenzwerte gemäss LRV</v>
      </c>
      <c r="AD2" s="114" t="str">
        <f>INDEX(menues!$1:$1048576,AD1,sprache)</f>
        <v>Einspeisung Wärmeverbund / Verteilverluste</v>
      </c>
      <c r="AE2" s="114" t="str">
        <f>INDEX(menues!$1:$1048576,AE1,sprache)</f>
        <v>Aschen zur Entsorgung</v>
      </c>
      <c r="AF2" s="114" t="str">
        <f>INDEX(menues!$1:$1048576,AF1,sprache)</f>
        <v>Aschen zur Entsorgung</v>
      </c>
      <c r="AG2" s="114" t="str">
        <f>INDEX(menues!$1:$1048576,AG1,sprache)</f>
        <v>Aschen zur Entsorgung</v>
      </c>
      <c r="AH2" s="114" t="str">
        <f>INDEX(menues!$1:$1048576,AH1,sprache)</f>
        <v>Aschen zur Entsorgung</v>
      </c>
      <c r="AI2" s="114" t="str">
        <f>INDEX(menues!$1:$1048576,AI1,sprache)</f>
        <v>Aschen zur Entsorgung</v>
      </c>
    </row>
    <row r="3" spans="1:35" s="1" customFormat="1">
      <c r="A3" s="1" t="s">
        <v>31</v>
      </c>
      <c r="C3" s="1">
        <f>INDEX(Prüfung!$1:$1048576,MATCH(C$1,Prüfung!$A:$A,0),3)</f>
        <v>0</v>
      </c>
      <c r="D3" s="1">
        <f>INDEX(Prüfung!$1:$1048576,MATCH(D$1,Prüfung!$A:$A,0),3)</f>
        <v>0</v>
      </c>
      <c r="E3" s="1">
        <f>INDEX(Prüfung!$1:$1048576,MATCH(E$1,Prüfung!$A:$A,0),3)</f>
        <v>0</v>
      </c>
      <c r="F3" s="1">
        <f>INDEX(Prüfung!$1:$1048576,MATCH(F$1,Prüfung!$A:$A,0),3)</f>
        <v>0</v>
      </c>
      <c r="G3" s="1">
        <f>INDEX(Prüfung!$1:$1048576,MATCH(G$1,Prüfung!$A:$A,0),3)</f>
        <v>0</v>
      </c>
      <c r="H3" s="1">
        <f>INDEX(Prüfung!$1:$1048576,MATCH(H$1,Prüfung!$A:$A,0),3)</f>
        <v>0</v>
      </c>
      <c r="I3" s="1">
        <f>INDEX(Prüfung!$1:$1048576,MATCH(I$1,Prüfung!$A:$A,0),3)</f>
        <v>0</v>
      </c>
      <c r="J3" s="1">
        <f>INDEX(Prüfung!$1:$1048576,MATCH(J$1,Prüfung!$A:$A,0),3)</f>
        <v>0</v>
      </c>
      <c r="K3" s="1">
        <f>INDEX(Prüfung!$1:$1048576,MATCH(K$1,Prüfung!$A:$A,0),3)</f>
        <v>0</v>
      </c>
      <c r="L3" s="1">
        <f>INDEX(Prüfung!$1:$1048576,MATCH(L$1,Prüfung!$A:$A,0),3)</f>
        <v>0</v>
      </c>
      <c r="M3" s="1">
        <f>INDEX(Prüfung!$1:$1048576,MATCH(M$1,Prüfung!$A:$A,0),3)</f>
        <v>0</v>
      </c>
      <c r="N3" s="1">
        <f>INDEX(Prüfung!$1:$1048576,MATCH(N$1,Prüfung!$A:$A,0),3)</f>
        <v>0</v>
      </c>
      <c r="O3" s="1">
        <f>INDEX(Prüfung!$1:$1048576,MATCH(O$1,Prüfung!$A:$A,0),3)</f>
        <v>0</v>
      </c>
      <c r="P3" s="1">
        <f>INDEX(Prüfung!$1:$1048576,MATCH(P$1,Prüfung!$A:$A,0),3)</f>
        <v>0</v>
      </c>
      <c r="Q3" s="1">
        <f>INDEX(Prüfung!$1:$1048576,MATCH(Q$1,Prüfung!$A:$A,0),3)</f>
        <v>0</v>
      </c>
      <c r="R3" s="1">
        <f>INDEX(Prüfung!$1:$1048576,MATCH(R$1,Prüfung!$A:$A,0),3)</f>
        <v>0</v>
      </c>
      <c r="S3" s="1">
        <f>INDEX(Prüfung!$1:$1048576,MATCH(S$1,Prüfung!$A:$A,0),3)</f>
        <v>0</v>
      </c>
      <c r="T3" s="1">
        <f>INDEX(Prüfung!$1:$1048576,MATCH(T$1,Prüfung!$A:$A,0),3)</f>
        <v>0</v>
      </c>
      <c r="U3" s="1">
        <f>INDEX(Prüfung!$1:$1048576,MATCH(U$1,Prüfung!$A:$A,0),3)</f>
        <v>0</v>
      </c>
      <c r="V3" s="1">
        <f>INDEX(Prüfung!$1:$1048576,MATCH(V$1,Prüfung!$A:$A,0),3)</f>
        <v>0</v>
      </c>
      <c r="W3" s="1">
        <f>INDEX(Prüfung!$1:$1048576,MATCH(W$1,Prüfung!$A:$A,0),3)</f>
        <v>0</v>
      </c>
      <c r="Y3" s="13">
        <f>INDEX(Prüfung!$1:$1048576,MATCH(Y$1,Prüfung!$A:$A,0),3)</f>
        <v>250</v>
      </c>
      <c r="Z3" s="1">
        <f>INDEX(Prüfung!$1:$1048576,MATCH(Z$1,Prüfung!$A:$A,0),3)</f>
        <v>20</v>
      </c>
      <c r="AA3" s="1">
        <f>INDEX(Prüfung!$1:$1048576,MATCH(AA$1,Prüfung!$A:$A,0),3)</f>
        <v>0</v>
      </c>
      <c r="AB3" s="1">
        <f>INDEX(Prüfung!$1:$1048576,MATCH(AB$1,Prüfung!$A:$A,0),3)</f>
        <v>0</v>
      </c>
      <c r="AC3" s="1">
        <f>INDEX(Prüfung!$1:$1048576,MATCH(AC$1,Prüfung!$A:$A,0),3)</f>
        <v>0</v>
      </c>
      <c r="AD3" s="1">
        <f>INDEX(Prüfung!$1:$1048576,MATCH(AD$1,Prüfung!$A:$A,0),3)</f>
        <v>0</v>
      </c>
      <c r="AE3" s="1">
        <f>INDEX(Prüfung!$1:$1048576,MATCH(AE$1,Prüfung!$A:$A,0),3)</f>
        <v>0</v>
      </c>
      <c r="AF3" s="1">
        <f>INDEX(Prüfung!$1:$1048576,MATCH(AF$1,Prüfung!$A:$A,0),3)</f>
        <v>0</v>
      </c>
      <c r="AG3" s="1">
        <f>INDEX(Prüfung!$1:$1048576,MATCH(AG$1,Prüfung!$A:$A,0),3)</f>
        <v>0</v>
      </c>
      <c r="AH3" s="1">
        <f>INDEX(Prüfung!$1:$1048576,MATCH(AH$1,Prüfung!$A:$A,0),3)</f>
        <v>0</v>
      </c>
      <c r="AI3" s="1">
        <f>INDEX(Prüfung!$1:$1048576,MATCH(AI$1,Prüfung!$A:$A,0),3)</f>
        <v>0</v>
      </c>
    </row>
    <row r="4" spans="1:35" s="1" customFormat="1">
      <c r="A4" s="1" t="s">
        <v>32</v>
      </c>
      <c r="B4" s="1" t="s">
        <v>166</v>
      </c>
      <c r="C4" s="146">
        <f>INDEX(Prüfung!$1:$1048576,MATCH(C$1,Prüfung!$A:$A,0),4)</f>
        <v>0.45</v>
      </c>
      <c r="D4" s="146">
        <f>INDEX(Prüfung!$1:$1048576,MATCH(D$1,Prüfung!$A:$A,0),4)</f>
        <v>0.45</v>
      </c>
      <c r="E4" s="146">
        <f>INDEX(Prüfung!$1:$1048576,MATCH(E$1,Prüfung!$A:$A,0),4)</f>
        <v>0.2857142857142857</v>
      </c>
      <c r="F4" s="146">
        <f>INDEX(Prüfung!$1:$1048576,MATCH(F$1,Prüfung!$A:$A,0),4)</f>
        <v>9.0909090909090981E-2</v>
      </c>
      <c r="G4" s="146">
        <f>INDEX(Prüfung!$1:$1048576,MATCH(G$1,Prüfung!$A:$A,0),4)</f>
        <v>0.2857142857142857</v>
      </c>
      <c r="H4" s="1">
        <f>INDEX(Prüfung!$1:$1048576,MATCH(H$1,Prüfung!$A:$A,0),4)</f>
        <v>0</v>
      </c>
      <c r="I4" s="1">
        <f>INDEX(Prüfung!$1:$1048576,MATCH(I$1,Prüfung!$A:$A,0),4)</f>
        <v>0</v>
      </c>
      <c r="J4" s="1">
        <f>INDEX(Prüfung!$1:$1048576,MATCH(J$1,Prüfung!$A:$A,0),4)</f>
        <v>0</v>
      </c>
      <c r="K4" s="1">
        <f>INDEX(Prüfung!$1:$1048576,MATCH(K$1,Prüfung!$A:$A,0),4)</f>
        <v>0</v>
      </c>
      <c r="L4" s="1">
        <f>INDEX(Prüfung!$1:$1048576,MATCH(L$1,Prüfung!$A:$A,0),4)</f>
        <v>0</v>
      </c>
      <c r="M4" s="1" t="e">
        <f>INDEX(Prüfung!$1:$1048576,MATCH(M$1,Prüfung!$A:$A,0),4)</f>
        <v>#DIV/0!</v>
      </c>
      <c r="N4" s="1" t="e">
        <f>INDEX(Prüfung!$1:$1048576,MATCH(N$1,Prüfung!$A:$A,0),4)</f>
        <v>#DIV/0!</v>
      </c>
      <c r="O4" s="1" t="e">
        <f>INDEX(Prüfung!$1:$1048576,MATCH(O$1,Prüfung!$A:$A,0),4)</f>
        <v>#DIV/0!</v>
      </c>
      <c r="P4" s="1">
        <f>INDEX(Prüfung!$1:$1048576,MATCH(P$1,Prüfung!$A:$A,0),4)</f>
        <v>0</v>
      </c>
      <c r="Q4" s="1">
        <f>INDEX(Prüfung!$1:$1048576,MATCH(Q$1,Prüfung!$A:$A,0),4)</f>
        <v>0</v>
      </c>
      <c r="R4" s="1">
        <f>INDEX(Prüfung!$1:$1048576,MATCH(R$1,Prüfung!$A:$A,0),4)</f>
        <v>0</v>
      </c>
      <c r="S4" s="174" t="e">
        <f>INDEX(Prüfung!$1:$1048576,MATCH(S$1,Prüfung!$A:$A,0),4)</f>
        <v>#DIV/0!</v>
      </c>
      <c r="T4" s="174" t="e">
        <f>INDEX(Prüfung!$1:$1048576,MATCH(T$1,Prüfung!$A:$A,0),4)</f>
        <v>#DIV/0!</v>
      </c>
      <c r="U4" s="174" t="e">
        <f>INDEX(Prüfung!$1:$1048576,MATCH(U$1,Prüfung!$A:$A,0),4)</f>
        <v>#DIV/0!</v>
      </c>
      <c r="V4" s="174" t="e">
        <f>INDEX(Prüfung!$1:$1048576,MATCH(V$1,Prüfung!$A:$A,0),4)</f>
        <v>#DIV/0!</v>
      </c>
      <c r="W4" s="174" t="e">
        <f>INDEX(Prüfung!$1:$1048576,MATCH(W$1,Prüfung!$A:$A,0),4)</f>
        <v>#DIV/0!</v>
      </c>
      <c r="X4" s="174"/>
      <c r="Y4" s="123">
        <f>Y5*kWhHolz_tAtro*3.6*1000000/1000/Nm3_kgAtro</f>
        <v>226.24</v>
      </c>
      <c r="Z4" s="123">
        <f>Z5*kWhHolz_tAtro*3.6*1000000/1000/Nm3_kgAtro</f>
        <v>224.21999999999994</v>
      </c>
      <c r="AA4" s="124">
        <f>AA5*kWhHolz_tAtro*3.6*1000000/1000/Nm3_kgAtro</f>
        <v>5.0499999999999989E-2</v>
      </c>
      <c r="AB4" s="125">
        <f>AB5*kWhHolz_tAtro*3.6*1000000/1000/Nm3_kgAtro</f>
        <v>1.4139999999999995E-3</v>
      </c>
      <c r="AC4" s="124">
        <f>AC5*kWhHolz_tAtro*3.6*1000000/1000/Nm3_kgAtro</f>
        <v>0.60599999999999998</v>
      </c>
      <c r="AD4" s="1">
        <f>INDEX(Prüfung!$1:$1048576,MATCH(AD$1,Prüfung!$A:$A,0),4)</f>
        <v>0.20300000000000001</v>
      </c>
      <c r="AE4" s="1">
        <f>INDEX(Prüfung!$1:$1048576,MATCH(AE$1,Prüfung!$A:$A,0),4)</f>
        <v>0</v>
      </c>
      <c r="AF4" s="1">
        <f>INDEX(Prüfung!$1:$1048576,MATCH(AF$1,Prüfung!$A:$A,0),4)</f>
        <v>0</v>
      </c>
      <c r="AG4" s="1">
        <f>INDEX(Prüfung!$1:$1048576,MATCH(AG$1,Prüfung!$A:$A,0),4)</f>
        <v>0</v>
      </c>
      <c r="AH4" s="1">
        <f>INDEX(Prüfung!$1:$1048576,MATCH(AH$1,Prüfung!$A:$A,0),4)</f>
        <v>0</v>
      </c>
      <c r="AI4" s="1">
        <f>INDEX(Prüfung!$1:$1048576,MATCH(AI$1,Prüfung!$A:$A,0),4)</f>
        <v>0</v>
      </c>
    </row>
    <row r="5" spans="1:35" s="1" customFormat="1">
      <c r="A5" s="1" t="s">
        <v>87</v>
      </c>
      <c r="B5" s="1" t="s">
        <v>206</v>
      </c>
      <c r="C5" s="146">
        <f>IF(C3&gt;0,(C18/C17-1),0)</f>
        <v>0</v>
      </c>
      <c r="D5" s="146">
        <f>IF(D3&gt;0,(D18/D17-1),0)</f>
        <v>0</v>
      </c>
      <c r="E5" s="146">
        <f>IF(E3&gt;0,(E18/E17-1),0)</f>
        <v>0</v>
      </c>
      <c r="F5" s="146">
        <f>IF(F3&gt;0,(F18/F17-1),0)</f>
        <v>0</v>
      </c>
      <c r="G5" s="146">
        <f>IF(G3&gt;0,(G18/G17-1),0)</f>
        <v>0</v>
      </c>
      <c r="H5" s="1">
        <f>INDEX(Prüfung!$1:$1048576,MATCH(H$1,Prüfung!$A:$A,0),5)</f>
        <v>0</v>
      </c>
      <c r="I5" s="1">
        <f>INDEX(Prüfung!$1:$1048576,MATCH(I$1,Prüfung!$A:$A,0),5)</f>
        <v>0</v>
      </c>
      <c r="J5" s="1">
        <f>INDEX(Prüfung!$1:$1048576,MATCH(J$1,Prüfung!$A:$A,0),5)</f>
        <v>0</v>
      </c>
      <c r="K5" s="1">
        <f>INDEX(Prüfung!$1:$1048576,MATCH(K$1,Prüfung!$A:$A,0),5)</f>
        <v>0</v>
      </c>
      <c r="L5" s="1">
        <f>INDEX(Prüfung!$1:$1048576,MATCH(L$1,Prüfung!$A:$A,0),5)</f>
        <v>0</v>
      </c>
      <c r="M5" s="1" t="e">
        <f>INDEX(Prüfung!$1:$1048576,MATCH(M$1,Prüfung!$A:$A,0),5)</f>
        <v>#DIV/0!</v>
      </c>
      <c r="N5" s="1" t="e">
        <f>INDEX(Prüfung!$1:$1048576,MATCH(N$1,Prüfung!$A:$A,0),5)</f>
        <v>#DIV/0!</v>
      </c>
      <c r="O5" s="1" t="e">
        <f>INDEX(Prüfung!$1:$1048576,MATCH(O$1,Prüfung!$A:$A,0),5)</f>
        <v>#DIV/0!</v>
      </c>
      <c r="P5" s="1">
        <f>INDEX(Prüfung!$1:$1048576,MATCH(P$1,Prüfung!$A:$A,0),5)</f>
        <v>0</v>
      </c>
      <c r="Q5" s="1">
        <f>INDEX(Prüfung!$1:$1048576,MATCH(Q$1,Prüfung!$A:$A,0),5)</f>
        <v>0</v>
      </c>
      <c r="R5" s="38">
        <f>INDEX(Prüfung!$1:$1048576,MATCH(R$1,Prüfung!$A:$A,0),5)</f>
        <v>0</v>
      </c>
      <c r="S5" s="1" t="e">
        <f>INDEX(Prüfung!$1:$1048576,MATCH(S$1,Prüfung!$A:$A,0),5)</f>
        <v>#DIV/0!</v>
      </c>
      <c r="T5" s="1" t="e">
        <f>INDEX(Prüfung!$1:$1048576,MATCH(T$1,Prüfung!$A:$A,0),5)</f>
        <v>#DIV/0!</v>
      </c>
      <c r="U5" s="1" t="e">
        <f>INDEX(Prüfung!$1:$1048576,MATCH(U$1,Prüfung!$A:$A,0),5)</f>
        <v>#DIV/0!</v>
      </c>
      <c r="V5" s="1" t="e">
        <f>INDEX(Prüfung!$1:$1048576,MATCH(V$1,Prüfung!$A:$A,0),5)</f>
        <v>#DIV/0!</v>
      </c>
      <c r="W5" s="1" t="e">
        <f>INDEX(Prüfung!$1:$1048576,MATCH(W$1,Prüfung!$A:$A,0),5)</f>
        <v>#DIV/0!</v>
      </c>
      <c r="X5" s="177">
        <f>Nm3_kgAtro/kWhHolz_tAtro*1000/3.6*$V3*3.6-R5*1000*Y16</f>
        <v>0</v>
      </c>
      <c r="Y5" s="120">
        <v>1.12E-4</v>
      </c>
      <c r="Z5" s="120">
        <v>1.11E-4</v>
      </c>
      <c r="AA5" s="120">
        <v>2.4999999999999999E-8</v>
      </c>
      <c r="AB5" s="120">
        <v>6.9999999999999975E-10</v>
      </c>
      <c r="AC5" s="120">
        <v>3.0000000000000004E-7</v>
      </c>
      <c r="AD5" s="1" t="e">
        <f>INDEX(Prüfung!$1:$1048576,MATCH(AD$1,Prüfung!$A:$A,0),5)</f>
        <v>#DIV/0!</v>
      </c>
      <c r="AE5" s="1">
        <f>INDEX(Prüfung!$1:$1048576,MATCH(AE$1,Prüfung!$A:$A,0),5)</f>
        <v>0</v>
      </c>
      <c r="AF5" s="1">
        <f>INDEX(Prüfung!$1:$1048576,MATCH(AF$1,Prüfung!$A:$A,0),5)</f>
        <v>0</v>
      </c>
      <c r="AG5" s="1">
        <f>INDEX(Prüfung!$1:$1048576,MATCH(AG$1,Prüfung!$A:$A,0),5)</f>
        <v>0</v>
      </c>
      <c r="AH5" s="1">
        <f>INDEX(Prüfung!$1:$1048576,MATCH(AH$1,Prüfung!$A:$A,0),5)</f>
        <v>0</v>
      </c>
      <c r="AI5" s="1">
        <f>INDEX(Prüfung!$1:$1048576,MATCH(AI$1,Prüfung!$A:$A,0),5)</f>
        <v>0</v>
      </c>
    </row>
    <row r="6" spans="1:35" s="1" customFormat="1">
      <c r="A6" s="1" t="s">
        <v>88</v>
      </c>
      <c r="B6" s="1">
        <v>6</v>
      </c>
      <c r="C6" s="1">
        <f>INDEX(Prüfung!$1:$1048576,MATCH(C$1,Prüfung!$A:$A,0),$B6)</f>
        <v>0</v>
      </c>
      <c r="D6" s="1">
        <f>INDEX(Prüfung!$1:$1048576,MATCH(D$1,Prüfung!$A:$A,0),$B6)</f>
        <v>0</v>
      </c>
      <c r="E6" s="1">
        <f>INDEX(Prüfung!$1:$1048576,MATCH(E$1,Prüfung!$A:$A,0),$B6)</f>
        <v>0</v>
      </c>
      <c r="F6" s="1">
        <f>INDEX(Prüfung!$1:$1048576,MATCH(F$1,Prüfung!$A:$A,0),$B6)</f>
        <v>0</v>
      </c>
      <c r="G6" s="1">
        <f>INDEX(Prüfung!$1:$1048576,MATCH(G$1,Prüfung!$A:$A,0),$B6)</f>
        <v>0</v>
      </c>
      <c r="H6" s="1">
        <f>INDEX(Prüfung!$1:$1048576,MATCH(H$1,Prüfung!$A:$A,0),$B6)</f>
        <v>0</v>
      </c>
      <c r="I6" s="1">
        <f>INDEX(Prüfung!$1:$1048576,MATCH(I$1,Prüfung!$A:$A,0),6)</f>
        <v>0</v>
      </c>
      <c r="J6" s="1">
        <f>INDEX(Prüfung!$1:$1048576,MATCH(J$1,Prüfung!$A:$A,0),6)</f>
        <v>0</v>
      </c>
      <c r="K6" s="1">
        <f>INDEX(Prüfung!$1:$1048576,MATCH(K$1,Prüfung!$A:$A,0),6)</f>
        <v>0</v>
      </c>
      <c r="L6" s="1">
        <f>INDEX(Prüfung!$1:$1048576,MATCH(L$1,Prüfung!$A:$A,0),6)</f>
        <v>0</v>
      </c>
      <c r="M6" s="1">
        <f>SUMPRODUCT($C18:$H18,$C6:$H6)</f>
        <v>0</v>
      </c>
      <c r="N6" s="1">
        <f>SUMPRODUCT($C18:$H18,$C7:$H7)</f>
        <v>0</v>
      </c>
      <c r="O6" s="1">
        <f>SUMPRODUCT($C18:$H18,$C8:$H8)</f>
        <v>0</v>
      </c>
      <c r="P6" s="1">
        <f>INDEX(Prüfung!$1:$1048576,MATCH(P$1,Prüfung!$A:$A,0),6)</f>
        <v>0</v>
      </c>
      <c r="Q6" s="1">
        <f>INDEX(Prüfung!$1:$1048576,MATCH(Q$1,Prüfung!$A:$A,0),6)</f>
        <v>0</v>
      </c>
      <c r="R6" s="1">
        <f>INDEX(Prüfung!$1:$1048576,MATCH(R$1,Prüfung!$A:$A,0),6)</f>
        <v>0</v>
      </c>
      <c r="S6" s="1">
        <f>INDEX(Prüfung!$1:$1048576,MATCH(S$1,Prüfung!$A:$A,0),6)</f>
        <v>0</v>
      </c>
      <c r="T6" s="1">
        <f>INDEX(Prüfung!$1:$1048576,MATCH(T$1,Prüfung!$A:$A,0),6)</f>
        <v>0</v>
      </c>
      <c r="U6" s="1">
        <f>INDEX(Prüfung!$1:$1048576,MATCH(U$1,Prüfung!$A:$A,0),6)</f>
        <v>0</v>
      </c>
      <c r="V6" s="1">
        <f>INDEX(Prüfung!$1:$1048576,MATCH(V$1,Prüfung!$A:$A,0),6)</f>
        <v>0</v>
      </c>
      <c r="W6" s="1">
        <f>INDEX(Prüfung!$1:$1048576,MATCH(W$1,Prüfung!$A:$A,0),6)</f>
        <v>0</v>
      </c>
      <c r="Y6" s="126">
        <f>(Y3-Y4)*0.000001*Nm3_Abgas</f>
        <v>0</v>
      </c>
      <c r="Z6" s="126">
        <f>(Z3-Z4)*0.000001*Nm3_Abgas</f>
        <v>0</v>
      </c>
      <c r="AA6" s="126">
        <f>(AA3-AA4)*0.000001*Nm3_Abgas</f>
        <v>0</v>
      </c>
      <c r="AB6" s="126">
        <f>(AB3-AB4)*0.000001*Nm3_Abgas</f>
        <v>0</v>
      </c>
      <c r="AC6" s="126">
        <f>(AC3-AC4)*0.000001*Nm3_Abgas</f>
        <v>0</v>
      </c>
      <c r="AD6" s="1">
        <f>INDEX(Prüfung!$1:$1048576,MATCH(AD$1,Prüfung!$A:$A,0),6)</f>
        <v>0</v>
      </c>
      <c r="AE6" s="1">
        <f>INDEX(Prüfung!$1:$1048576,MATCH(AE$1,Prüfung!$A:$A,0),6)</f>
        <v>100</v>
      </c>
      <c r="AF6" s="1">
        <f>INDEX(Prüfung!$1:$1048576,MATCH(AF$1,Prüfung!$A:$A,0),6)</f>
        <v>100</v>
      </c>
      <c r="AG6" s="1">
        <f>INDEX(Prüfung!$1:$1048576,MATCH(AG$1,Prüfung!$A:$A,0),6)</f>
        <v>100</v>
      </c>
      <c r="AH6" s="1">
        <f>INDEX(Prüfung!$1:$1048576,MATCH(AH$1,Prüfung!$A:$A,0),6)</f>
        <v>100</v>
      </c>
      <c r="AI6" s="1">
        <f>INDEX(Prüfung!$1:$1048576,MATCH(AI$1,Prüfung!$A:$A,0),6)</f>
        <v>100</v>
      </c>
    </row>
    <row r="7" spans="1:35" s="1" customFormat="1">
      <c r="A7" s="1" t="s">
        <v>381</v>
      </c>
      <c r="B7" s="1">
        <v>7</v>
      </c>
      <c r="C7" s="1">
        <f>INDEX(Prüfung!$1:$1048576,MATCH(C$1,Prüfung!$A:$A,0),$B7)</f>
        <v>0</v>
      </c>
      <c r="D7" s="1">
        <f>INDEX(Prüfung!$1:$1048576,MATCH(D$1,Prüfung!$A:$A,0),$B7)</f>
        <v>0</v>
      </c>
      <c r="E7" s="1">
        <f>INDEX(Prüfung!$1:$1048576,MATCH(E$1,Prüfung!$A:$A,0),$B7)</f>
        <v>0</v>
      </c>
      <c r="F7" s="1">
        <f>INDEX(Prüfung!$1:$1048576,MATCH(F$1,Prüfung!$A:$A,0),$B7)</f>
        <v>0</v>
      </c>
      <c r="G7" s="1">
        <f>INDEX(Prüfung!$1:$1048576,MATCH(G$1,Prüfung!$A:$A,0),$B7)</f>
        <v>0</v>
      </c>
      <c r="H7" s="1">
        <f>INDEX(Prüfung!$1:$1048576,MATCH(H$1,Prüfung!$A:$A,0),$B7)</f>
        <v>0</v>
      </c>
      <c r="Y7" s="126"/>
      <c r="Z7" s="126"/>
      <c r="AA7" s="126"/>
      <c r="AB7" s="126"/>
      <c r="AC7" s="126"/>
    </row>
    <row r="8" spans="1:35" s="1" customFormat="1">
      <c r="A8" s="1" t="s">
        <v>382</v>
      </c>
      <c r="B8" s="1">
        <v>8</v>
      </c>
      <c r="C8" s="1">
        <f>INDEX(Prüfung!$1:$1048576,MATCH(C$1,Prüfung!$A:$A,0),$B8)</f>
        <v>0</v>
      </c>
      <c r="D8" s="1">
        <f>INDEX(Prüfung!$1:$1048576,MATCH(D$1,Prüfung!$A:$A,0),$B8)</f>
        <v>0</v>
      </c>
      <c r="E8" s="1">
        <f>INDEX(Prüfung!$1:$1048576,MATCH(E$1,Prüfung!$A:$A,0),$B8)</f>
        <v>0</v>
      </c>
      <c r="F8" s="1">
        <f>INDEX(Prüfung!$1:$1048576,MATCH(F$1,Prüfung!$A:$A,0),$B8)</f>
        <v>0</v>
      </c>
      <c r="G8" s="1">
        <f>INDEX(Prüfung!$1:$1048576,MATCH(G$1,Prüfung!$A:$A,0),$B8)</f>
        <v>0</v>
      </c>
      <c r="H8" s="1">
        <f>INDEX(Prüfung!$1:$1048576,MATCH(H$1,Prüfung!$A:$A,0),$B8)</f>
        <v>0</v>
      </c>
      <c r="Y8" s="126"/>
      <c r="Z8" s="126"/>
      <c r="AA8" s="126"/>
      <c r="AB8" s="126"/>
      <c r="AC8" s="126"/>
    </row>
    <row r="9" spans="1:35" s="1" customFormat="1">
      <c r="A9" s="1" t="s">
        <v>30</v>
      </c>
      <c r="B9" s="2"/>
      <c r="C9" s="15">
        <f>C3*(1-C4)/(1-C15)</f>
        <v>0</v>
      </c>
      <c r="D9" s="15">
        <f>D3*(1-D4)/(1-D15)</f>
        <v>0</v>
      </c>
      <c r="E9" s="15">
        <f>E3*(1-E4)/(1-E15)</f>
        <v>0</v>
      </c>
      <c r="F9" s="15">
        <f>F3*(1-F4)/(1-F15)</f>
        <v>0</v>
      </c>
      <c r="G9" s="15">
        <f>G3*(1-G4)/(1-G15)</f>
        <v>0</v>
      </c>
      <c r="H9" s="15">
        <f>H3</f>
        <v>0</v>
      </c>
      <c r="I9" s="15">
        <f>I3</f>
        <v>0</v>
      </c>
      <c r="J9" s="15">
        <f>J3</f>
        <v>0</v>
      </c>
      <c r="K9" s="15">
        <f>K3</f>
        <v>0</v>
      </c>
      <c r="L9" s="15">
        <f>L3</f>
        <v>0</v>
      </c>
      <c r="M9" s="15">
        <f>M6</f>
        <v>0</v>
      </c>
      <c r="N9" s="15">
        <f>N6</f>
        <v>0</v>
      </c>
      <c r="O9" s="15">
        <f>O6</f>
        <v>0</v>
      </c>
      <c r="P9" s="15">
        <f>P6</f>
        <v>0</v>
      </c>
      <c r="Q9" s="15">
        <f>Q3</f>
        <v>0</v>
      </c>
      <c r="R9" s="15">
        <f>IF(Anlagentyp=R14,R5*1,0)</f>
        <v>0</v>
      </c>
      <c r="S9" s="15">
        <f>IF(Anlagentyp=S14,S3*1,0)</f>
        <v>0</v>
      </c>
      <c r="T9" s="15">
        <f>IF(Anlagentyp=T14,T3*1,0)</f>
        <v>0</v>
      </c>
      <c r="U9" s="15">
        <f>IF(Anlagentyp=U14,U3*1,0)</f>
        <v>0</v>
      </c>
      <c r="V9" s="15">
        <f>IF(Anlagentyp=V14,V3*1,0)</f>
        <v>0</v>
      </c>
      <c r="W9" s="15">
        <f>IF(Anlagentyp=W14,W3*1,0)</f>
        <v>0</v>
      </c>
      <c r="X9" s="15">
        <f>IF(SUM(V9:W9)&gt;0,Nm3_Abgas,0)</f>
        <v>0</v>
      </c>
      <c r="Y9" s="15">
        <f>Y6</f>
        <v>0</v>
      </c>
      <c r="Z9" s="15">
        <f>Z6</f>
        <v>0</v>
      </c>
      <c r="AA9" s="15">
        <f>IF(altholzverbrennung,AA6,0)</f>
        <v>0</v>
      </c>
      <c r="AB9" s="15">
        <f>IF(altholzverbrennung,AB6,0)</f>
        <v>0</v>
      </c>
      <c r="AC9" s="15">
        <f>IF(altholzverbrennung,AC6,0)</f>
        <v>0</v>
      </c>
      <c r="AD9" s="15">
        <f>AD3</f>
        <v>0</v>
      </c>
      <c r="AE9" s="15">
        <f>IF(Auswahl_Behandlung_fest=LCIA!AE14,LCIA!AE4,0)</f>
        <v>0</v>
      </c>
      <c r="AF9" s="15">
        <f>IF(Auswahl_Behandlung_fest=LCIA!AF14,LCIA!AF4,0)</f>
        <v>0</v>
      </c>
      <c r="AG9" s="15">
        <f>IF(Auswahl_Behandlung_fest=LCIA!AG14,LCIA!AG4,0)</f>
        <v>0</v>
      </c>
      <c r="AH9" s="15">
        <f>IF(Auswahl_Behandlung_fest=LCIA!AH14,LCIA!AH4,0)</f>
        <v>0</v>
      </c>
      <c r="AI9" s="15">
        <f>IF(Auswahl_Behandlung_fest=LCIA!AI14,LCIA!AI4,0)</f>
        <v>0</v>
      </c>
    </row>
    <row r="10" spans="1:35" s="27" customFormat="1">
      <c r="A10" s="27" t="s">
        <v>0</v>
      </c>
      <c r="B10" s="47">
        <f>SUM(C10:AI10)</f>
        <v>0</v>
      </c>
      <c r="C10" s="44">
        <f t="shared" ref="C10:I10" si="0">C67*C9</f>
        <v>0</v>
      </c>
      <c r="D10" s="44">
        <f t="shared" si="0"/>
        <v>0</v>
      </c>
      <c r="E10" s="44">
        <f t="shared" si="0"/>
        <v>0</v>
      </c>
      <c r="F10" s="44">
        <f t="shared" si="0"/>
        <v>0</v>
      </c>
      <c r="G10" s="44">
        <f t="shared" si="0"/>
        <v>0</v>
      </c>
      <c r="H10" s="44">
        <f t="shared" si="0"/>
        <v>0</v>
      </c>
      <c r="I10" s="44">
        <f t="shared" si="0"/>
        <v>0</v>
      </c>
      <c r="J10" s="44">
        <f>J67*J$9</f>
        <v>0</v>
      </c>
      <c r="K10" s="44">
        <f t="shared" ref="K10:AI10" si="1">K67*K9</f>
        <v>0</v>
      </c>
      <c r="L10" s="44">
        <f t="shared" si="1"/>
        <v>0</v>
      </c>
      <c r="M10" s="44">
        <f t="shared" si="1"/>
        <v>0</v>
      </c>
      <c r="N10" s="44">
        <f>N67*N9</f>
        <v>0</v>
      </c>
      <c r="O10" s="44">
        <f>O67*O9</f>
        <v>0</v>
      </c>
      <c r="P10" s="44">
        <f t="shared" si="1"/>
        <v>0</v>
      </c>
      <c r="Q10" s="44">
        <f t="shared" si="1"/>
        <v>0</v>
      </c>
      <c r="R10" s="44">
        <f t="shared" si="1"/>
        <v>0</v>
      </c>
      <c r="S10" s="44">
        <f t="shared" si="1"/>
        <v>0</v>
      </c>
      <c r="T10" s="44">
        <f t="shared" si="1"/>
        <v>0</v>
      </c>
      <c r="U10" s="44">
        <f t="shared" si="1"/>
        <v>0</v>
      </c>
      <c r="V10" s="44">
        <f t="shared" si="1"/>
        <v>0</v>
      </c>
      <c r="W10" s="44">
        <f t="shared" si="1"/>
        <v>0</v>
      </c>
      <c r="X10" s="44">
        <f>X67*X9</f>
        <v>0</v>
      </c>
      <c r="Y10" s="44">
        <f>Y67*Y9</f>
        <v>0</v>
      </c>
      <c r="Z10" s="44">
        <f t="shared" si="1"/>
        <v>0</v>
      </c>
      <c r="AA10" s="44">
        <f t="shared" si="1"/>
        <v>0</v>
      </c>
      <c r="AB10" s="44">
        <f t="shared" si="1"/>
        <v>0</v>
      </c>
      <c r="AC10" s="44">
        <f t="shared" si="1"/>
        <v>0</v>
      </c>
      <c r="AD10" s="44">
        <f t="shared" si="1"/>
        <v>0</v>
      </c>
      <c r="AE10" s="44">
        <f t="shared" si="1"/>
        <v>0</v>
      </c>
      <c r="AF10" s="44">
        <f t="shared" si="1"/>
        <v>0</v>
      </c>
      <c r="AG10" s="44">
        <f t="shared" si="1"/>
        <v>0</v>
      </c>
      <c r="AH10" s="44">
        <f t="shared" si="1"/>
        <v>0</v>
      </c>
      <c r="AI10" s="44">
        <f t="shared" si="1"/>
        <v>0</v>
      </c>
    </row>
    <row r="11" spans="1:35" s="27" customFormat="1">
      <c r="A11" s="27" t="str">
        <f>A119</f>
        <v>IPCC GWP 100a</v>
      </c>
      <c r="B11" s="47">
        <f>SUM(C11:AI11)</f>
        <v>0</v>
      </c>
      <c r="C11" s="44">
        <f t="shared" ref="C11:AI11" si="2">C119*C$9</f>
        <v>0</v>
      </c>
      <c r="D11" s="44">
        <f t="shared" si="2"/>
        <v>0</v>
      </c>
      <c r="E11" s="44">
        <f t="shared" si="2"/>
        <v>0</v>
      </c>
      <c r="F11" s="44">
        <f t="shared" si="2"/>
        <v>0</v>
      </c>
      <c r="G11" s="44">
        <f t="shared" si="2"/>
        <v>0</v>
      </c>
      <c r="H11" s="44">
        <f t="shared" si="2"/>
        <v>0</v>
      </c>
      <c r="I11" s="44">
        <f t="shared" si="2"/>
        <v>0</v>
      </c>
      <c r="J11" s="44">
        <f t="shared" si="2"/>
        <v>0</v>
      </c>
      <c r="K11" s="44">
        <f t="shared" si="2"/>
        <v>0</v>
      </c>
      <c r="L11" s="44">
        <f t="shared" si="2"/>
        <v>0</v>
      </c>
      <c r="M11" s="44">
        <f t="shared" si="2"/>
        <v>0</v>
      </c>
      <c r="N11" s="44">
        <f>N119*N$9</f>
        <v>0</v>
      </c>
      <c r="O11" s="44">
        <f>O119*O$9</f>
        <v>0</v>
      </c>
      <c r="P11" s="44">
        <f t="shared" si="2"/>
        <v>0</v>
      </c>
      <c r="Q11" s="44">
        <f t="shared" si="2"/>
        <v>0</v>
      </c>
      <c r="R11" s="44">
        <f t="shared" si="2"/>
        <v>0</v>
      </c>
      <c r="S11" s="44">
        <f t="shared" si="2"/>
        <v>0</v>
      </c>
      <c r="T11" s="44">
        <f t="shared" si="2"/>
        <v>0</v>
      </c>
      <c r="U11" s="44">
        <f t="shared" si="2"/>
        <v>0</v>
      </c>
      <c r="V11" s="44">
        <f t="shared" si="2"/>
        <v>0</v>
      </c>
      <c r="W11" s="44">
        <f>W119*W$9</f>
        <v>0</v>
      </c>
      <c r="X11" s="44">
        <f>X119*X$9</f>
        <v>0</v>
      </c>
      <c r="Y11" s="44">
        <f t="shared" si="2"/>
        <v>0</v>
      </c>
      <c r="Z11" s="44">
        <f t="shared" si="2"/>
        <v>0</v>
      </c>
      <c r="AA11" s="44">
        <f t="shared" si="2"/>
        <v>0</v>
      </c>
      <c r="AB11" s="44">
        <f t="shared" si="2"/>
        <v>0</v>
      </c>
      <c r="AC11" s="44">
        <f t="shared" si="2"/>
        <v>0</v>
      </c>
      <c r="AD11" s="44">
        <f t="shared" si="2"/>
        <v>0</v>
      </c>
      <c r="AE11" s="44">
        <f t="shared" si="2"/>
        <v>0</v>
      </c>
      <c r="AF11" s="44">
        <f t="shared" si="2"/>
        <v>0</v>
      </c>
      <c r="AG11" s="44">
        <f t="shared" si="2"/>
        <v>0</v>
      </c>
      <c r="AH11" s="44">
        <f t="shared" si="2"/>
        <v>0</v>
      </c>
      <c r="AI11" s="44">
        <f t="shared" si="2"/>
        <v>0</v>
      </c>
    </row>
    <row r="12" spans="1:35" s="27" customFormat="1">
      <c r="A12" s="27" t="str">
        <f>B123</f>
        <v>Impact assessment</v>
      </c>
      <c r="B12" s="47">
        <f>SUM(C12:AI12)</f>
        <v>0</v>
      </c>
      <c r="C12" s="44">
        <f t="shared" ref="C12:AI12" si="3">C167*C$9</f>
        <v>0</v>
      </c>
      <c r="D12" s="44">
        <f t="shared" si="3"/>
        <v>0</v>
      </c>
      <c r="E12" s="44">
        <f t="shared" si="3"/>
        <v>0</v>
      </c>
      <c r="F12" s="44">
        <f t="shared" si="3"/>
        <v>0</v>
      </c>
      <c r="G12" s="44">
        <f t="shared" si="3"/>
        <v>0</v>
      </c>
      <c r="H12" s="44">
        <f t="shared" si="3"/>
        <v>0</v>
      </c>
      <c r="I12" s="44">
        <f t="shared" si="3"/>
        <v>0</v>
      </c>
      <c r="J12" s="44">
        <f t="shared" si="3"/>
        <v>0</v>
      </c>
      <c r="K12" s="44">
        <f t="shared" si="3"/>
        <v>0</v>
      </c>
      <c r="L12" s="44">
        <f t="shared" si="3"/>
        <v>0</v>
      </c>
      <c r="M12" s="44">
        <f t="shared" si="3"/>
        <v>0</v>
      </c>
      <c r="N12" s="44">
        <f t="shared" si="3"/>
        <v>0</v>
      </c>
      <c r="O12" s="44">
        <f t="shared" si="3"/>
        <v>0</v>
      </c>
      <c r="P12" s="44">
        <f t="shared" si="3"/>
        <v>0</v>
      </c>
      <c r="Q12" s="44">
        <f t="shared" si="3"/>
        <v>0</v>
      </c>
      <c r="R12" s="44">
        <f t="shared" si="3"/>
        <v>0</v>
      </c>
      <c r="S12" s="44">
        <f t="shared" si="3"/>
        <v>0</v>
      </c>
      <c r="T12" s="44">
        <f t="shared" si="3"/>
        <v>0</v>
      </c>
      <c r="U12" s="44">
        <f t="shared" si="3"/>
        <v>0</v>
      </c>
      <c r="V12" s="44">
        <f t="shared" si="3"/>
        <v>0</v>
      </c>
      <c r="W12" s="44">
        <f t="shared" si="3"/>
        <v>0</v>
      </c>
      <c r="X12" s="44">
        <f t="shared" si="3"/>
        <v>0</v>
      </c>
      <c r="Y12" s="44">
        <f t="shared" si="3"/>
        <v>0</v>
      </c>
      <c r="Z12" s="44">
        <f t="shared" si="3"/>
        <v>0</v>
      </c>
      <c r="AA12" s="44">
        <f t="shared" si="3"/>
        <v>0</v>
      </c>
      <c r="AB12" s="44">
        <f t="shared" si="3"/>
        <v>0</v>
      </c>
      <c r="AC12" s="44">
        <f t="shared" si="3"/>
        <v>0</v>
      </c>
      <c r="AD12" s="44">
        <f t="shared" si="3"/>
        <v>0</v>
      </c>
      <c r="AE12" s="44">
        <f t="shared" si="3"/>
        <v>0</v>
      </c>
      <c r="AF12" s="44">
        <f t="shared" si="3"/>
        <v>0</v>
      </c>
      <c r="AG12" s="44">
        <f t="shared" si="3"/>
        <v>0</v>
      </c>
      <c r="AH12" s="44">
        <f t="shared" si="3"/>
        <v>0</v>
      </c>
      <c r="AI12" s="44">
        <f t="shared" si="3"/>
        <v>0</v>
      </c>
    </row>
    <row r="13" spans="1:35" s="27" customFormat="1">
      <c r="A13" s="27" t="str">
        <f>B175</f>
        <v>Impact assessment</v>
      </c>
      <c r="B13" s="47">
        <f>SUM(C13:AI13)</f>
        <v>0</v>
      </c>
      <c r="C13" s="44">
        <f t="shared" ref="C13:AI13" si="4">C219*C$9</f>
        <v>0</v>
      </c>
      <c r="D13" s="44">
        <f t="shared" si="4"/>
        <v>0</v>
      </c>
      <c r="E13" s="44">
        <f t="shared" si="4"/>
        <v>0</v>
      </c>
      <c r="F13" s="44">
        <f t="shared" si="4"/>
        <v>0</v>
      </c>
      <c r="G13" s="44">
        <f t="shared" si="4"/>
        <v>0</v>
      </c>
      <c r="H13" s="44">
        <f t="shared" si="4"/>
        <v>0</v>
      </c>
      <c r="I13" s="44">
        <f t="shared" si="4"/>
        <v>0</v>
      </c>
      <c r="J13" s="44">
        <f t="shared" si="4"/>
        <v>0</v>
      </c>
      <c r="K13" s="44">
        <f t="shared" si="4"/>
        <v>0</v>
      </c>
      <c r="L13" s="44">
        <f t="shared" si="4"/>
        <v>0</v>
      </c>
      <c r="M13" s="44">
        <f t="shared" si="4"/>
        <v>0</v>
      </c>
      <c r="N13" s="44">
        <f t="shared" si="4"/>
        <v>0</v>
      </c>
      <c r="O13" s="44">
        <f t="shared" si="4"/>
        <v>0</v>
      </c>
      <c r="P13" s="44">
        <f t="shared" si="4"/>
        <v>0</v>
      </c>
      <c r="Q13" s="44">
        <f t="shared" si="4"/>
        <v>0</v>
      </c>
      <c r="R13" s="44">
        <f t="shared" si="4"/>
        <v>0</v>
      </c>
      <c r="S13" s="44">
        <f t="shared" si="4"/>
        <v>0</v>
      </c>
      <c r="T13" s="44">
        <f t="shared" si="4"/>
        <v>0</v>
      </c>
      <c r="U13" s="44">
        <f t="shared" si="4"/>
        <v>0</v>
      </c>
      <c r="V13" s="44">
        <f t="shared" si="4"/>
        <v>0</v>
      </c>
      <c r="W13" s="44">
        <f t="shared" si="4"/>
        <v>0</v>
      </c>
      <c r="X13" s="44">
        <f t="shared" si="4"/>
        <v>0</v>
      </c>
      <c r="Y13" s="44">
        <f t="shared" si="4"/>
        <v>0</v>
      </c>
      <c r="Z13" s="44">
        <f t="shared" si="4"/>
        <v>0</v>
      </c>
      <c r="AA13" s="44">
        <f t="shared" si="4"/>
        <v>0</v>
      </c>
      <c r="AB13" s="44">
        <f t="shared" si="4"/>
        <v>0</v>
      </c>
      <c r="AC13" s="44">
        <f t="shared" si="4"/>
        <v>0</v>
      </c>
      <c r="AD13" s="44">
        <f t="shared" si="4"/>
        <v>0</v>
      </c>
      <c r="AE13" s="44">
        <f t="shared" si="4"/>
        <v>0</v>
      </c>
      <c r="AF13" s="44">
        <f t="shared" si="4"/>
        <v>0</v>
      </c>
      <c r="AG13" s="44">
        <f t="shared" si="4"/>
        <v>0</v>
      </c>
      <c r="AH13" s="44">
        <f t="shared" si="4"/>
        <v>0</v>
      </c>
      <c r="AI13" s="44">
        <f t="shared" si="4"/>
        <v>0</v>
      </c>
    </row>
    <row r="14" spans="1:35" s="1" customFormat="1">
      <c r="A14" s="159" t="s">
        <v>190</v>
      </c>
      <c r="B14" s="160" t="s">
        <v>192</v>
      </c>
      <c r="C14" s="159">
        <v>0.23899999999999999</v>
      </c>
      <c r="D14" s="159">
        <v>0.16900000000000001</v>
      </c>
      <c r="E14" s="159">
        <v>0.189</v>
      </c>
      <c r="F14" s="159">
        <v>0.65</v>
      </c>
      <c r="G14" s="159">
        <v>0.189</v>
      </c>
      <c r="S14" s="1">
        <v>1</v>
      </c>
      <c r="T14" s="1">
        <v>2</v>
      </c>
      <c r="U14" s="1">
        <v>3</v>
      </c>
      <c r="V14" s="1">
        <v>4</v>
      </c>
      <c r="W14" s="1">
        <v>5</v>
      </c>
      <c r="AE14" s="1">
        <v>1</v>
      </c>
      <c r="AG14" s="1">
        <v>2</v>
      </c>
      <c r="AH14" s="1">
        <v>3</v>
      </c>
      <c r="AI14" s="1">
        <v>4</v>
      </c>
    </row>
    <row r="15" spans="1:35" s="1" customFormat="1">
      <c r="A15" s="159" t="s">
        <v>166</v>
      </c>
      <c r="B15" s="160" t="s">
        <v>193</v>
      </c>
      <c r="C15" s="161">
        <f>((C16+1)*C14-C14)/((C16+1)*C14)</f>
        <v>0.44444444444444442</v>
      </c>
      <c r="D15" s="161">
        <f>((D16+1)*D14-D14)/((D16+1)*D14)</f>
        <v>0.58333333333333337</v>
      </c>
      <c r="E15" s="161">
        <f>((E16+1)*E14-E14)/((E16+1)*E14)</f>
        <v>0.2857142857142857</v>
      </c>
      <c r="F15" s="161">
        <f>((F16+1)*F14-F14)/((F16+1)*F14)</f>
        <v>9.0909090909090981E-2</v>
      </c>
      <c r="G15" s="161">
        <f>((G16+1)*G14-G14)/((G16+1)*G14)</f>
        <v>0.2857142857142857</v>
      </c>
      <c r="X15" s="37">
        <f>SUM(X10:AC10)</f>
        <v>0</v>
      </c>
      <c r="Y15" s="121">
        <v>10</v>
      </c>
      <c r="Z15" s="122" t="s">
        <v>144</v>
      </c>
    </row>
    <row r="16" spans="1:35">
      <c r="A16" s="159" t="s">
        <v>204</v>
      </c>
      <c r="B16" s="160" t="s">
        <v>193</v>
      </c>
      <c r="C16" s="161">
        <v>0.8</v>
      </c>
      <c r="D16" s="161">
        <v>1.4</v>
      </c>
      <c r="E16" s="161">
        <v>0.4</v>
      </c>
      <c r="F16" s="161">
        <v>0.1</v>
      </c>
      <c r="G16" s="161">
        <v>0.4</v>
      </c>
      <c r="Y16" s="178">
        <v>22.9</v>
      </c>
      <c r="Z16" s="179" t="s">
        <v>218</v>
      </c>
    </row>
    <row r="17" spans="1:26" s="1" customFormat="1">
      <c r="A17" s="1" t="s">
        <v>191</v>
      </c>
      <c r="B17" s="2" t="s">
        <v>192</v>
      </c>
      <c r="C17" s="156">
        <f>C14*C9</f>
        <v>0</v>
      </c>
      <c r="D17" s="155">
        <f>D14*D9</f>
        <v>0</v>
      </c>
      <c r="E17" s="155">
        <f>E14*E9</f>
        <v>0</v>
      </c>
      <c r="F17" s="155">
        <f>F14*F9</f>
        <v>0</v>
      </c>
      <c r="G17" s="155">
        <f>G14*G9</f>
        <v>0</v>
      </c>
      <c r="Y17" s="118">
        <f>20.2/3.6*1000</f>
        <v>5611.1111111111104</v>
      </c>
      <c r="Z17" s="158" t="s">
        <v>203</v>
      </c>
    </row>
    <row r="18" spans="1:26" s="1" customFormat="1">
      <c r="A18" s="1" t="s">
        <v>205</v>
      </c>
      <c r="B18" s="2" t="s">
        <v>202</v>
      </c>
      <c r="C18" s="156">
        <f>C17/(1-C4)</f>
        <v>0</v>
      </c>
      <c r="D18" s="156">
        <f>D17/(1-D4)</f>
        <v>0</v>
      </c>
      <c r="E18" s="156">
        <f>E17/(1-E4)</f>
        <v>0</v>
      </c>
      <c r="F18" s="156">
        <f>F17/(1-F4)</f>
        <v>0</v>
      </c>
      <c r="G18" s="156">
        <f>G17/(1-G4)</f>
        <v>0</v>
      </c>
      <c r="H18" s="1">
        <f>H5</f>
        <v>0</v>
      </c>
    </row>
    <row r="19" spans="1:26" s="1" customFormat="1">
      <c r="A19" s="1" t="s">
        <v>194</v>
      </c>
      <c r="B19" s="2" t="s">
        <v>195</v>
      </c>
      <c r="C19" s="13">
        <f>1000*C18*(20.2*0.8-0.2*(100*C5*100/(100+C5*100)))/3.6</f>
        <v>0</v>
      </c>
      <c r="D19" s="13">
        <f>1000*D18*(20.2*0.8-0.2*(100*D5*100/(100+D5*100)))/3.6</f>
        <v>0</v>
      </c>
      <c r="E19" s="13">
        <f>1000*E18*(20.2*0.8-0.2*(100*E5*100/(100+E5*100)))/3.6</f>
        <v>0</v>
      </c>
      <c r="F19" s="13">
        <f>1000*F18*(20.2*0.8-0.2*(100*F5*100/(100+F5*100)))/3.6</f>
        <v>0</v>
      </c>
      <c r="G19" s="13">
        <f>1000*G18*(20.2*0.8-0.2*(100*G5*100/(100+G5*100)))/3.6</f>
        <v>0</v>
      </c>
      <c r="Y19" s="121"/>
      <c r="Z19" s="145"/>
    </row>
    <row r="20" spans="1:26">
      <c r="B20" s="2"/>
      <c r="C20" s="157"/>
      <c r="D20" s="157"/>
      <c r="E20" s="157"/>
      <c r="F20" s="157"/>
      <c r="G20" s="157"/>
      <c r="Y20" s="178"/>
      <c r="Z20" s="179"/>
    </row>
    <row r="21" spans="1:26" hidden="1" outlineLevel="1">
      <c r="A21" t="s">
        <v>297</v>
      </c>
      <c r="B21" t="s">
        <v>298</v>
      </c>
    </row>
    <row r="22" spans="1:26" hidden="1" outlineLevel="1">
      <c r="A22" t="s">
        <v>299</v>
      </c>
      <c r="B22" t="s">
        <v>300</v>
      </c>
    </row>
    <row r="23" spans="1:26" hidden="1" outlineLevel="1">
      <c r="A23" t="s">
        <v>301</v>
      </c>
      <c r="B23" t="s">
        <v>392</v>
      </c>
    </row>
    <row r="24" spans="1:26" hidden="1" outlineLevel="1">
      <c r="A24" t="s">
        <v>303</v>
      </c>
      <c r="B24" t="s">
        <v>393</v>
      </c>
    </row>
    <row r="25" spans="1:26" hidden="1" outlineLevel="1">
      <c r="A25" t="s">
        <v>305</v>
      </c>
      <c r="B25" t="s">
        <v>394</v>
      </c>
    </row>
    <row r="26" spans="1:26" hidden="1" outlineLevel="1">
      <c r="A26" t="s">
        <v>307</v>
      </c>
      <c r="B26" t="s">
        <v>395</v>
      </c>
    </row>
    <row r="27" spans="1:26" hidden="1" outlineLevel="1">
      <c r="A27" t="s">
        <v>309</v>
      </c>
      <c r="B27" t="s">
        <v>396</v>
      </c>
    </row>
    <row r="28" spans="1:26" hidden="1" outlineLevel="1">
      <c r="A28" t="s">
        <v>311</v>
      </c>
      <c r="B28" t="s">
        <v>397</v>
      </c>
    </row>
    <row r="29" spans="1:26" hidden="1" outlineLevel="1">
      <c r="A29" t="s">
        <v>313</v>
      </c>
      <c r="B29" t="s">
        <v>398</v>
      </c>
    </row>
    <row r="30" spans="1:26" hidden="1" outlineLevel="1">
      <c r="A30" t="s">
        <v>315</v>
      </c>
      <c r="B30" t="s">
        <v>399</v>
      </c>
    </row>
    <row r="31" spans="1:26" hidden="1" outlineLevel="1">
      <c r="A31" t="s">
        <v>317</v>
      </c>
      <c r="B31" t="s">
        <v>400</v>
      </c>
    </row>
    <row r="32" spans="1:26" hidden="1" outlineLevel="1">
      <c r="A32" t="s">
        <v>319</v>
      </c>
      <c r="B32" t="s">
        <v>401</v>
      </c>
    </row>
    <row r="33" spans="1:2" hidden="1" outlineLevel="1">
      <c r="A33" t="s">
        <v>339</v>
      </c>
      <c r="B33" t="s">
        <v>402</v>
      </c>
    </row>
    <row r="34" spans="1:2" hidden="1" outlineLevel="1">
      <c r="A34" t="s">
        <v>340</v>
      </c>
      <c r="B34" t="s">
        <v>403</v>
      </c>
    </row>
    <row r="35" spans="1:2" hidden="1" outlineLevel="1">
      <c r="A35" t="s">
        <v>341</v>
      </c>
      <c r="B35" t="s">
        <v>404</v>
      </c>
    </row>
    <row r="36" spans="1:2" hidden="1" outlineLevel="1">
      <c r="A36" t="s">
        <v>342</v>
      </c>
      <c r="B36" t="s">
        <v>405</v>
      </c>
    </row>
    <row r="37" spans="1:2" hidden="1" outlineLevel="1">
      <c r="A37" t="s">
        <v>343</v>
      </c>
      <c r="B37" t="s">
        <v>344</v>
      </c>
    </row>
    <row r="38" spans="1:2" hidden="1" outlineLevel="1">
      <c r="A38" t="s">
        <v>345</v>
      </c>
      <c r="B38" t="s">
        <v>346</v>
      </c>
    </row>
    <row r="39" spans="1:2" hidden="1" outlineLevel="1">
      <c r="A39" t="s">
        <v>347</v>
      </c>
      <c r="B39" t="s">
        <v>348</v>
      </c>
    </row>
    <row r="40" spans="1:2" hidden="1" outlineLevel="1">
      <c r="A40" t="s">
        <v>349</v>
      </c>
      <c r="B40" t="s">
        <v>350</v>
      </c>
    </row>
    <row r="41" spans="1:2" hidden="1" outlineLevel="1">
      <c r="A41" t="s">
        <v>351</v>
      </c>
      <c r="B41" t="s">
        <v>352</v>
      </c>
    </row>
    <row r="42" spans="1:2" hidden="1" outlineLevel="1">
      <c r="A42" t="s">
        <v>353</v>
      </c>
      <c r="B42" t="s">
        <v>354</v>
      </c>
    </row>
    <row r="43" spans="1:2" hidden="1" outlineLevel="1">
      <c r="A43" t="s">
        <v>355</v>
      </c>
      <c r="B43" t="s">
        <v>356</v>
      </c>
    </row>
    <row r="44" spans="1:2" hidden="1" outlineLevel="1">
      <c r="A44" t="s">
        <v>357</v>
      </c>
      <c r="B44" t="s">
        <v>358</v>
      </c>
    </row>
    <row r="45" spans="1:2" hidden="1" outlineLevel="1">
      <c r="A45" t="s">
        <v>359</v>
      </c>
      <c r="B45" t="s">
        <v>406</v>
      </c>
    </row>
    <row r="46" spans="1:2" hidden="1" outlineLevel="1">
      <c r="A46" t="s">
        <v>360</v>
      </c>
      <c r="B46" t="s">
        <v>407</v>
      </c>
    </row>
    <row r="47" spans="1:2" hidden="1" outlineLevel="1">
      <c r="A47" t="s">
        <v>361</v>
      </c>
      <c r="B47" t="s">
        <v>408</v>
      </c>
    </row>
    <row r="48" spans="1:2" hidden="1" outlineLevel="1">
      <c r="A48" t="s">
        <v>362</v>
      </c>
      <c r="B48" t="s">
        <v>409</v>
      </c>
    </row>
    <row r="49" spans="1:2" hidden="1" outlineLevel="1">
      <c r="A49" t="s">
        <v>363</v>
      </c>
      <c r="B49" t="s">
        <v>410</v>
      </c>
    </row>
    <row r="50" spans="1:2" hidden="1" outlineLevel="1">
      <c r="A50" t="s">
        <v>364</v>
      </c>
      <c r="B50" t="s">
        <v>365</v>
      </c>
    </row>
    <row r="51" spans="1:2" hidden="1" outlineLevel="1">
      <c r="A51" t="s">
        <v>366</v>
      </c>
      <c r="B51" t="s">
        <v>411</v>
      </c>
    </row>
    <row r="52" spans="1:2" hidden="1" outlineLevel="1">
      <c r="A52" t="s">
        <v>367</v>
      </c>
      <c r="B52" t="s">
        <v>412</v>
      </c>
    </row>
    <row r="53" spans="1:2" hidden="1" outlineLevel="1">
      <c r="A53" t="s">
        <v>368</v>
      </c>
      <c r="B53" t="s">
        <v>369</v>
      </c>
    </row>
    <row r="54" spans="1:2" hidden="1" outlineLevel="1">
      <c r="A54" t="s">
        <v>370</v>
      </c>
      <c r="B54" t="s">
        <v>413</v>
      </c>
    </row>
    <row r="55" spans="1:2" hidden="1" outlineLevel="1">
      <c r="A55" t="s">
        <v>371</v>
      </c>
      <c r="B55" t="s">
        <v>414</v>
      </c>
    </row>
    <row r="56" spans="1:2" hidden="1" outlineLevel="1">
      <c r="A56" t="s">
        <v>321</v>
      </c>
      <c r="B56" t="s">
        <v>447</v>
      </c>
    </row>
    <row r="57" spans="1:2" hidden="1" outlineLevel="1">
      <c r="A57" t="s">
        <v>323</v>
      </c>
      <c r="B57" t="s">
        <v>324</v>
      </c>
    </row>
    <row r="58" spans="1:2" hidden="1" outlineLevel="1">
      <c r="A58" t="s">
        <v>327</v>
      </c>
      <c r="B58" t="s">
        <v>416</v>
      </c>
    </row>
    <row r="59" spans="1:2" hidden="1" outlineLevel="1">
      <c r="A59" t="s">
        <v>417</v>
      </c>
      <c r="B59" t="s">
        <v>332</v>
      </c>
    </row>
    <row r="60" spans="1:2" hidden="1" outlineLevel="1">
      <c r="A60" t="s">
        <v>329</v>
      </c>
      <c r="B60" t="s">
        <v>330</v>
      </c>
    </row>
    <row r="61" spans="1:2" hidden="1" outlineLevel="1">
      <c r="A61" t="s">
        <v>331</v>
      </c>
      <c r="B61" t="s">
        <v>332</v>
      </c>
    </row>
    <row r="62" spans="1:2" hidden="1" outlineLevel="1">
      <c r="A62" t="s">
        <v>333</v>
      </c>
      <c r="B62" t="s">
        <v>330</v>
      </c>
    </row>
    <row r="63" spans="1:2" hidden="1" outlineLevel="1">
      <c r="A63" t="s">
        <v>334</v>
      </c>
      <c r="B63" t="s">
        <v>335</v>
      </c>
    </row>
    <row r="64" spans="1:2" hidden="1" outlineLevel="1">
      <c r="A64" t="s">
        <v>336</v>
      </c>
      <c r="B64" t="s">
        <v>337</v>
      </c>
    </row>
    <row r="65" spans="1:35" hidden="1" outlineLevel="1"/>
    <row r="66" spans="1:35" s="3" customFormat="1" ht="50.3" customHeight="1" collapsed="1">
      <c r="A66" s="3" t="s">
        <v>335</v>
      </c>
      <c r="B66" s="3" t="s">
        <v>338</v>
      </c>
      <c r="C66" s="3" t="s">
        <v>133</v>
      </c>
      <c r="D66" s="3" t="s">
        <v>134</v>
      </c>
      <c r="E66" s="3" t="s">
        <v>135</v>
      </c>
      <c r="F66" s="3" t="s">
        <v>167</v>
      </c>
      <c r="G66" s="3" t="s">
        <v>136</v>
      </c>
      <c r="H66" s="3" t="s">
        <v>137</v>
      </c>
      <c r="I66" s="3" t="s">
        <v>372</v>
      </c>
      <c r="J66" s="3" t="s">
        <v>418</v>
      </c>
      <c r="K66" s="3" t="s">
        <v>81</v>
      </c>
      <c r="L66" s="3" t="s">
        <v>3</v>
      </c>
      <c r="M66" s="3" t="s">
        <v>4</v>
      </c>
      <c r="N66" s="3" t="s">
        <v>373</v>
      </c>
      <c r="O66" s="3" t="s">
        <v>374</v>
      </c>
      <c r="P66" s="3" t="s">
        <v>82</v>
      </c>
      <c r="Q66" s="3" t="s">
        <v>5</v>
      </c>
      <c r="R66" s="3" t="s">
        <v>6</v>
      </c>
      <c r="S66" s="3" t="s">
        <v>143</v>
      </c>
      <c r="T66" s="3" t="s">
        <v>168</v>
      </c>
      <c r="U66" s="3" t="s">
        <v>169</v>
      </c>
      <c r="V66" s="3" t="s">
        <v>220</v>
      </c>
      <c r="W66" s="3" t="s">
        <v>222</v>
      </c>
      <c r="X66" s="3" t="s">
        <v>221</v>
      </c>
      <c r="Y66" s="3" t="s">
        <v>419</v>
      </c>
      <c r="Z66" s="3" t="s">
        <v>420</v>
      </c>
      <c r="AA66" s="3" t="s">
        <v>421</v>
      </c>
      <c r="AB66" s="3" t="s">
        <v>422</v>
      </c>
      <c r="AC66" s="3" t="s">
        <v>423</v>
      </c>
      <c r="AD66" s="3" t="s">
        <v>7</v>
      </c>
      <c r="AE66" s="3" t="s">
        <v>424</v>
      </c>
      <c r="AF66" s="3" t="s">
        <v>150</v>
      </c>
      <c r="AG66" s="3" t="s">
        <v>140</v>
      </c>
      <c r="AH66" s="3" t="s">
        <v>141</v>
      </c>
      <c r="AI66" s="3" t="s">
        <v>142</v>
      </c>
    </row>
    <row r="67" spans="1:35" s="1" customFormat="1">
      <c r="A67" s="1" t="s">
        <v>39</v>
      </c>
      <c r="B67" s="1" t="s">
        <v>2</v>
      </c>
      <c r="C67" s="1">
        <v>2.8970663999999999</v>
      </c>
      <c r="D67" s="1">
        <v>1.8026759000000001</v>
      </c>
      <c r="E67" s="1">
        <v>0.69841465000000003</v>
      </c>
      <c r="F67" s="1">
        <v>12.485645999999999</v>
      </c>
      <c r="G67" s="1">
        <v>0.4367453</v>
      </c>
      <c r="H67" s="1">
        <v>657.17071999999996</v>
      </c>
      <c r="I67" s="1">
        <v>6.3858774E-3</v>
      </c>
      <c r="J67" s="1">
        <v>2.3134434999999998E-2</v>
      </c>
      <c r="K67" s="1">
        <v>5.5851981000000002E-2</v>
      </c>
      <c r="L67" s="1">
        <v>2.0926868000000001E-2</v>
      </c>
      <c r="M67" s="1">
        <v>2.3827946999999999E-2</v>
      </c>
      <c r="N67" s="1">
        <v>3.4913637000000002E-3</v>
      </c>
      <c r="O67" s="1">
        <v>1.8655715000000001E-3</v>
      </c>
      <c r="P67" s="1">
        <v>3.9501148E-2</v>
      </c>
      <c r="Q67" s="1">
        <v>1.2469478000000001E-2</v>
      </c>
      <c r="R67" s="37">
        <v>8.4590315999999999E-5</v>
      </c>
      <c r="S67" s="110">
        <v>1.5177533E-2</v>
      </c>
      <c r="T67" s="110">
        <v>1.5175474E-2</v>
      </c>
      <c r="U67" s="110">
        <v>1.5249618E-2</v>
      </c>
      <c r="V67" s="110">
        <v>2.5737155999999998E-4</v>
      </c>
      <c r="W67" s="110">
        <v>6.0698491000000002E-4</v>
      </c>
      <c r="X67" s="110">
        <v>8.3395737000000001E-3</v>
      </c>
      <c r="Y67" s="110">
        <v>4.4477209999999996</v>
      </c>
      <c r="Z67" s="110">
        <v>32.394359000000001</v>
      </c>
      <c r="AA67" s="110">
        <v>177.5968</v>
      </c>
      <c r="AB67" s="110">
        <v>6836.1279999999997</v>
      </c>
      <c r="AC67" s="110">
        <v>202.06880000000001</v>
      </c>
      <c r="AD67" s="1">
        <v>1.5073916999999999E-4</v>
      </c>
      <c r="AE67" s="1">
        <v>3.1036750999999998</v>
      </c>
      <c r="AF67" s="1">
        <v>1.2324101000000001</v>
      </c>
      <c r="AG67" s="1">
        <v>14.641643999999999</v>
      </c>
      <c r="AH67" s="1">
        <v>13.544537999999999</v>
      </c>
      <c r="AI67" s="1">
        <v>1484.3253</v>
      </c>
    </row>
    <row r="68" spans="1:35" hidden="1" outlineLevel="1">
      <c r="A68" t="s">
        <v>68</v>
      </c>
      <c r="B68" t="s">
        <v>2</v>
      </c>
      <c r="C68" s="4">
        <v>0.45171065999999999</v>
      </c>
      <c r="D68" s="4">
        <v>0.40990968</v>
      </c>
      <c r="E68" s="4">
        <v>0.13229610999999999</v>
      </c>
      <c r="F68" s="4">
        <v>3.4068716000000001</v>
      </c>
      <c r="G68" s="4">
        <v>0.22548292</v>
      </c>
      <c r="H68">
        <v>48.844056999999999</v>
      </c>
      <c r="I68">
        <v>3.5052858000000002E-3</v>
      </c>
      <c r="J68" s="4">
        <v>5.9537501000000003E-3</v>
      </c>
      <c r="K68">
        <v>3.3493836999999999E-2</v>
      </c>
      <c r="L68" s="4">
        <v>4.7080869000000001E-3</v>
      </c>
      <c r="M68" s="4">
        <v>1.1843782000000001E-2</v>
      </c>
      <c r="N68" s="4">
        <v>1.9744254999999999E-3</v>
      </c>
      <c r="O68" s="4">
        <v>1.2475552999999999E-3</v>
      </c>
      <c r="P68">
        <v>2.3252229999999999E-2</v>
      </c>
      <c r="Q68" s="4">
        <v>1.2469478000000001E-2</v>
      </c>
      <c r="R68" s="4">
        <v>2.9764242E-5</v>
      </c>
      <c r="S68" s="111">
        <v>1.4716055E-2</v>
      </c>
      <c r="T68" s="111">
        <v>1.4703848E-2</v>
      </c>
      <c r="U68" s="111">
        <v>1.4731408E-2</v>
      </c>
      <c r="V68" s="111">
        <v>1.171763E-4</v>
      </c>
      <c r="W68" s="111">
        <v>3.3655546E-4</v>
      </c>
      <c r="X68" s="111">
        <v>8.2234021000000008E-3</v>
      </c>
      <c r="Y68" s="111">
        <v>4.0482680000000002</v>
      </c>
      <c r="Z68" s="111">
        <v>32.394359000000001</v>
      </c>
      <c r="AA68" s="111">
        <v>0</v>
      </c>
      <c r="AB68" s="111">
        <v>6161.4</v>
      </c>
      <c r="AC68" s="111">
        <v>0</v>
      </c>
      <c r="AD68" s="4">
        <v>8.3540069999999994E-5</v>
      </c>
      <c r="AE68">
        <v>1.5147964</v>
      </c>
      <c r="AF68">
        <v>0.53039241999999998</v>
      </c>
      <c r="AG68">
        <v>14.007887</v>
      </c>
      <c r="AH68">
        <v>8.1478163000000006</v>
      </c>
      <c r="AI68">
        <v>1482.8983000000001</v>
      </c>
    </row>
    <row r="69" spans="1:35" hidden="1" outlineLevel="1">
      <c r="A69" t="s">
        <v>69</v>
      </c>
      <c r="B69" t="s">
        <v>2</v>
      </c>
      <c r="C69" s="4">
        <v>2.1792175999999999</v>
      </c>
      <c r="D69" s="4">
        <v>1.1434601</v>
      </c>
      <c r="E69" s="4">
        <v>0.47802376000000002</v>
      </c>
      <c r="F69" s="4">
        <v>6.6229693000000003</v>
      </c>
      <c r="G69" s="4">
        <v>2.4662703000000001E-2</v>
      </c>
      <c r="H69" s="4">
        <v>538.10388999999998</v>
      </c>
      <c r="I69" s="4">
        <v>3.3057570999999998E-4</v>
      </c>
      <c r="J69" s="4">
        <v>4.1410821999999999E-4</v>
      </c>
      <c r="K69" s="4">
        <v>5.1107562999999998E-3</v>
      </c>
      <c r="L69" s="4">
        <v>3.7523249999999998E-4</v>
      </c>
      <c r="M69" s="4">
        <v>1.3366195E-3</v>
      </c>
      <c r="N69" s="4">
        <v>3.1059723000000002E-4</v>
      </c>
      <c r="O69" s="4">
        <v>1.0821953E-4</v>
      </c>
      <c r="P69" s="4">
        <v>2.8284376999999999E-3</v>
      </c>
      <c r="Q69" s="4">
        <v>0</v>
      </c>
      <c r="R69" s="4">
        <v>1.8321769999999999E-5</v>
      </c>
      <c r="S69" s="111">
        <v>4.3892098999999998E-4</v>
      </c>
      <c r="T69" s="111">
        <v>4.4386906999999999E-4</v>
      </c>
      <c r="U69" s="111">
        <v>4.5008367000000003E-4</v>
      </c>
      <c r="V69" s="111">
        <v>4.3949010999999999E-5</v>
      </c>
      <c r="W69" s="111">
        <v>5.1014265999999997E-5</v>
      </c>
      <c r="X69" s="111">
        <v>1.1617161E-4</v>
      </c>
      <c r="Y69" s="111">
        <v>0.39945296000000002</v>
      </c>
      <c r="Z69" s="111">
        <v>0</v>
      </c>
      <c r="AA69" s="111">
        <v>177.5968</v>
      </c>
      <c r="AB69" s="111">
        <v>674.72799999999995</v>
      </c>
      <c r="AC69" s="111">
        <v>202.06880000000001</v>
      </c>
      <c r="AD69" s="4">
        <v>8.0498861000000006E-6</v>
      </c>
      <c r="AE69">
        <v>0.21354198999999999</v>
      </c>
      <c r="AF69" s="4">
        <v>3.3995251999999997E-2</v>
      </c>
      <c r="AG69">
        <v>0.10073621000000001</v>
      </c>
      <c r="AH69">
        <v>1.6006203000000001</v>
      </c>
      <c r="AI69">
        <v>1.3684349</v>
      </c>
    </row>
    <row r="70" spans="1:35" hidden="1" outlineLevel="1">
      <c r="A70" t="s">
        <v>70</v>
      </c>
      <c r="B70" t="s">
        <v>2</v>
      </c>
      <c r="C70">
        <v>0.26613818</v>
      </c>
      <c r="D70">
        <v>0.24930611999999999</v>
      </c>
      <c r="E70">
        <v>8.8094770000000003E-2</v>
      </c>
      <c r="F70">
        <v>2.4558046</v>
      </c>
      <c r="G70">
        <v>0.18659967999999999</v>
      </c>
      <c r="H70">
        <v>70.222776999999994</v>
      </c>
      <c r="I70">
        <v>2.5500159E-3</v>
      </c>
      <c r="J70">
        <v>1.6766575999999998E-2</v>
      </c>
      <c r="K70">
        <v>1.7247387999999999E-2</v>
      </c>
      <c r="L70">
        <v>1.5843548999999998E-2</v>
      </c>
      <c r="M70">
        <v>1.0647545E-2</v>
      </c>
      <c r="N70">
        <v>1.2063410000000001E-3</v>
      </c>
      <c r="O70">
        <v>5.0979659999999996E-4</v>
      </c>
      <c r="P70">
        <v>1.342048E-2</v>
      </c>
      <c r="Q70" s="4">
        <v>0</v>
      </c>
      <c r="R70" s="4">
        <v>3.6504304E-5</v>
      </c>
      <c r="S70" s="111">
        <v>2.2556707E-5</v>
      </c>
      <c r="T70" s="111">
        <v>2.7757012000000002E-5</v>
      </c>
      <c r="U70" s="111">
        <v>6.8126106000000001E-5</v>
      </c>
      <c r="V70" s="111">
        <v>9.6246248999999994E-5</v>
      </c>
      <c r="W70" s="111">
        <v>2.1941518E-4</v>
      </c>
      <c r="X70" s="111">
        <v>0</v>
      </c>
      <c r="Y70" s="111">
        <v>0</v>
      </c>
      <c r="Z70" s="111">
        <v>0</v>
      </c>
      <c r="AA70" s="111">
        <v>0</v>
      </c>
      <c r="AB70" s="111">
        <v>0</v>
      </c>
      <c r="AC70" s="111">
        <v>0</v>
      </c>
      <c r="AD70" s="4">
        <v>5.9149216999999999E-5</v>
      </c>
      <c r="AE70">
        <v>1.3753367000000001</v>
      </c>
      <c r="AF70">
        <v>0.66802238999999997</v>
      </c>
      <c r="AG70">
        <v>0.53302073999999999</v>
      </c>
      <c r="AH70">
        <v>3.7961016000000001</v>
      </c>
      <c r="AI70">
        <v>5.8537514999999998E-2</v>
      </c>
    </row>
    <row r="71" spans="1:35" s="1" customFormat="1" collapsed="1">
      <c r="A71" s="1" t="s">
        <v>39</v>
      </c>
      <c r="B71" s="1" t="s">
        <v>2</v>
      </c>
      <c r="C71" s="1">
        <v>2.8666271000000001</v>
      </c>
      <c r="D71" s="1">
        <v>1.790313</v>
      </c>
      <c r="E71" s="1">
        <v>0.68384734999999996</v>
      </c>
      <c r="F71" s="1">
        <v>8.9681536000000008</v>
      </c>
      <c r="G71" s="1">
        <v>0.42675434000000001</v>
      </c>
      <c r="H71" s="1">
        <v>645.46214999999995</v>
      </c>
      <c r="I71" s="1">
        <v>7.7487103999999999E-3</v>
      </c>
      <c r="J71" s="1">
        <v>2.3467775999999999E-2</v>
      </c>
      <c r="K71" s="1">
        <v>5.1111431999999998E-2</v>
      </c>
      <c r="L71" s="1">
        <v>1.8557409E-2</v>
      </c>
      <c r="M71" s="1">
        <v>2.3465711E-2</v>
      </c>
      <c r="N71" s="1">
        <v>3.3892198E-3</v>
      </c>
      <c r="O71" s="1">
        <v>1.8397956E-3</v>
      </c>
      <c r="P71" s="1">
        <v>4.1417308999999999E-2</v>
      </c>
      <c r="Q71" s="1">
        <v>1.2469478000000001E-2</v>
      </c>
      <c r="R71" s="1">
        <v>5.7015292E-4</v>
      </c>
      <c r="S71" s="110">
        <v>1.5182209E-2</v>
      </c>
      <c r="T71" s="110">
        <v>1.5176817E-2</v>
      </c>
      <c r="U71" s="110">
        <v>1.5247699E-2</v>
      </c>
      <c r="V71" s="110">
        <v>2.5209095000000001E-4</v>
      </c>
      <c r="W71" s="110">
        <v>5.9888221000000004E-4</v>
      </c>
      <c r="X71" s="110">
        <v>8.3395737000000001E-3</v>
      </c>
      <c r="Y71" s="110">
        <v>4.4477209999999996</v>
      </c>
      <c r="Z71" s="110">
        <v>32.394359000000001</v>
      </c>
      <c r="AA71" s="110">
        <v>177.5968</v>
      </c>
      <c r="AB71" s="110">
        <v>6836.1279999999997</v>
      </c>
      <c r="AC71" s="110">
        <v>202.06880000000001</v>
      </c>
      <c r="AD71" s="1">
        <v>1.7827087000000001E-4</v>
      </c>
      <c r="AE71" s="1">
        <v>4.5447882000000002</v>
      </c>
      <c r="AF71" s="1">
        <v>1.1637668000000001</v>
      </c>
      <c r="AG71" s="1">
        <v>14.622802</v>
      </c>
      <c r="AH71" s="1">
        <v>19.091290000000001</v>
      </c>
      <c r="AI71" s="1">
        <v>1484.3269</v>
      </c>
    </row>
    <row r="72" spans="1:35">
      <c r="C72" t="b">
        <f>C71=C67</f>
        <v>0</v>
      </c>
      <c r="D72" t="b">
        <f t="shared" ref="D72:AI72" si="5">D71=D67</f>
        <v>0</v>
      </c>
      <c r="E72" t="b">
        <f t="shared" si="5"/>
        <v>0</v>
      </c>
      <c r="F72" t="b">
        <f t="shared" si="5"/>
        <v>0</v>
      </c>
      <c r="G72" t="b">
        <f t="shared" si="5"/>
        <v>0</v>
      </c>
      <c r="H72" t="b">
        <f t="shared" si="5"/>
        <v>0</v>
      </c>
      <c r="I72" t="b">
        <f t="shared" si="5"/>
        <v>0</v>
      </c>
      <c r="J72" t="b">
        <f t="shared" si="5"/>
        <v>0</v>
      </c>
      <c r="K72" t="b">
        <f t="shared" si="5"/>
        <v>0</v>
      </c>
      <c r="L72" t="b">
        <f t="shared" si="5"/>
        <v>0</v>
      </c>
      <c r="M72" t="b">
        <f t="shared" si="5"/>
        <v>0</v>
      </c>
      <c r="P72" t="b">
        <f t="shared" si="5"/>
        <v>0</v>
      </c>
      <c r="Q72" t="b">
        <f t="shared" si="5"/>
        <v>1</v>
      </c>
      <c r="R72" t="b">
        <f t="shared" si="5"/>
        <v>0</v>
      </c>
      <c r="S72" t="b">
        <f t="shared" si="5"/>
        <v>0</v>
      </c>
      <c r="T72" t="b">
        <f t="shared" si="5"/>
        <v>0</v>
      </c>
      <c r="U72" t="b">
        <f t="shared" si="5"/>
        <v>0</v>
      </c>
      <c r="V72" t="b">
        <f t="shared" si="5"/>
        <v>0</v>
      </c>
      <c r="W72" t="b">
        <f t="shared" si="5"/>
        <v>0</v>
      </c>
      <c r="X72" t="b">
        <f t="shared" si="5"/>
        <v>1</v>
      </c>
      <c r="Y72" t="b">
        <f t="shared" si="5"/>
        <v>1</v>
      </c>
      <c r="Z72" t="b">
        <f t="shared" si="5"/>
        <v>1</v>
      </c>
      <c r="AA72" t="b">
        <f t="shared" si="5"/>
        <v>1</v>
      </c>
      <c r="AB72" t="b">
        <f t="shared" si="5"/>
        <v>1</v>
      </c>
      <c r="AC72" t="b">
        <f t="shared" si="5"/>
        <v>1</v>
      </c>
      <c r="AD72" t="b">
        <f t="shared" si="5"/>
        <v>0</v>
      </c>
      <c r="AE72" t="b">
        <f t="shared" si="5"/>
        <v>0</v>
      </c>
      <c r="AF72" t="b">
        <f t="shared" si="5"/>
        <v>0</v>
      </c>
      <c r="AG72" t="b">
        <f t="shared" si="5"/>
        <v>0</v>
      </c>
      <c r="AH72" t="b">
        <f t="shared" si="5"/>
        <v>0</v>
      </c>
      <c r="AI72" t="b">
        <f t="shared" si="5"/>
        <v>0</v>
      </c>
    </row>
    <row r="73" spans="1:35">
      <c r="B73" s="26"/>
    </row>
    <row r="74" spans="1:35" outlineLevel="1">
      <c r="C74" s="4"/>
      <c r="D74" s="4"/>
      <c r="E74" s="4"/>
      <c r="F74" s="4"/>
      <c r="G74" s="4"/>
      <c r="I74" s="4"/>
      <c r="J74" s="4"/>
      <c r="K74" s="4"/>
      <c r="L74" s="4"/>
      <c r="M74" s="4"/>
      <c r="N74" s="4"/>
      <c r="O74" s="4"/>
      <c r="P74" s="4"/>
      <c r="R74" s="4"/>
      <c r="S74" s="4"/>
      <c r="T74" s="4"/>
      <c r="U74" s="4"/>
      <c r="V74" s="4"/>
      <c r="W74" s="4"/>
      <c r="X74" s="4"/>
      <c r="Y74" s="4"/>
      <c r="Z74" s="4"/>
      <c r="AA74" s="4"/>
      <c r="AB74" s="4"/>
      <c r="AC74" s="4"/>
      <c r="AD74" s="4"/>
      <c r="AE74" s="4"/>
      <c r="AF74" s="4"/>
      <c r="AG74" s="4"/>
    </row>
    <row r="75" spans="1:35" outlineLevel="1">
      <c r="A75" t="s">
        <v>297</v>
      </c>
      <c r="B75" t="s">
        <v>298</v>
      </c>
      <c r="L75" s="4"/>
      <c r="R75" s="4"/>
      <c r="S75" s="4"/>
      <c r="T75" s="4"/>
      <c r="U75" s="4"/>
      <c r="V75" s="4"/>
      <c r="W75" s="4"/>
      <c r="X75" s="4"/>
      <c r="Y75" s="4"/>
      <c r="Z75" s="4"/>
      <c r="AA75" s="4"/>
      <c r="AB75" s="4"/>
      <c r="AC75" s="4"/>
      <c r="AD75" s="4"/>
    </row>
    <row r="76" spans="1:35" outlineLevel="1">
      <c r="A76" t="s">
        <v>299</v>
      </c>
      <c r="B76" t="s">
        <v>300</v>
      </c>
      <c r="L76" s="4"/>
      <c r="R76" s="4"/>
      <c r="S76" s="4"/>
      <c r="T76" s="4"/>
      <c r="U76" s="4"/>
      <c r="V76" s="4"/>
      <c r="W76" s="4"/>
      <c r="X76" s="4"/>
      <c r="Y76" s="4"/>
      <c r="Z76" s="4"/>
      <c r="AA76" s="4"/>
      <c r="AB76" s="4"/>
      <c r="AC76" s="4"/>
      <c r="AD76" s="4"/>
    </row>
    <row r="77" spans="1:35" outlineLevel="1">
      <c r="A77" t="s">
        <v>301</v>
      </c>
      <c r="B77" t="s">
        <v>392</v>
      </c>
      <c r="L77" s="4"/>
      <c r="R77" s="4"/>
      <c r="S77" s="4"/>
      <c r="T77" s="4"/>
      <c r="U77" s="4"/>
      <c r="V77" s="4"/>
      <c r="W77" s="4"/>
      <c r="X77" s="4"/>
      <c r="Y77" s="4"/>
      <c r="Z77" s="4"/>
      <c r="AA77" s="4"/>
      <c r="AB77" s="4"/>
      <c r="AC77" s="4"/>
      <c r="AD77" s="4"/>
    </row>
    <row r="78" spans="1:35" outlineLevel="1">
      <c r="A78" t="s">
        <v>303</v>
      </c>
      <c r="B78" t="s">
        <v>393</v>
      </c>
      <c r="I78" s="4"/>
      <c r="L78" s="4"/>
      <c r="R78" s="4"/>
      <c r="S78" s="4"/>
      <c r="T78" s="4"/>
      <c r="V78" s="4"/>
      <c r="W78" s="4"/>
      <c r="X78" s="4"/>
      <c r="Y78" s="4"/>
      <c r="Z78" s="4"/>
      <c r="AA78" s="4"/>
      <c r="AB78" s="4"/>
      <c r="AC78" s="4"/>
      <c r="AD78" s="4"/>
    </row>
    <row r="79" spans="1:35" outlineLevel="1">
      <c r="A79" t="s">
        <v>305</v>
      </c>
      <c r="B79" t="s">
        <v>394</v>
      </c>
      <c r="I79" s="4"/>
      <c r="L79" s="4"/>
      <c r="R79" s="4"/>
      <c r="S79" s="4"/>
      <c r="T79" s="4"/>
      <c r="V79" s="4"/>
      <c r="W79" s="4"/>
      <c r="X79" s="4"/>
      <c r="Y79" s="4"/>
      <c r="Z79" s="4"/>
      <c r="AA79" s="4"/>
      <c r="AB79" s="4"/>
      <c r="AC79" s="4"/>
      <c r="AD79" s="4"/>
    </row>
    <row r="80" spans="1:35" outlineLevel="1">
      <c r="A80" t="s">
        <v>307</v>
      </c>
      <c r="B80" t="s">
        <v>395</v>
      </c>
      <c r="I80" s="4"/>
      <c r="L80" s="4"/>
      <c r="R80" s="4"/>
      <c r="S80" s="4"/>
      <c r="T80" s="4"/>
      <c r="V80" s="4"/>
      <c r="W80" s="4"/>
      <c r="X80" s="4"/>
      <c r="Y80" s="4"/>
      <c r="Z80" s="4"/>
      <c r="AA80" s="4"/>
      <c r="AB80" s="4"/>
      <c r="AC80" s="4"/>
      <c r="AD80" s="4"/>
    </row>
    <row r="81" spans="1:30" outlineLevel="1">
      <c r="A81" t="s">
        <v>309</v>
      </c>
      <c r="B81" t="s">
        <v>396</v>
      </c>
      <c r="I81" s="4"/>
      <c r="L81" s="4"/>
      <c r="R81" s="4"/>
      <c r="S81" s="4"/>
      <c r="T81" s="4"/>
      <c r="V81" s="4"/>
      <c r="W81" s="4"/>
      <c r="X81" s="4"/>
      <c r="Y81" s="4"/>
      <c r="Z81" s="4"/>
      <c r="AA81" s="4"/>
      <c r="AB81" s="4"/>
      <c r="AC81" s="4"/>
      <c r="AD81" s="4"/>
    </row>
    <row r="82" spans="1:30" outlineLevel="1">
      <c r="A82" t="s">
        <v>311</v>
      </c>
      <c r="B82" t="s">
        <v>397</v>
      </c>
      <c r="I82" s="4"/>
      <c r="L82" s="4"/>
      <c r="R82" s="4"/>
      <c r="S82" s="4"/>
      <c r="T82" s="4"/>
      <c r="V82" s="4"/>
      <c r="W82" s="4"/>
      <c r="X82" s="4"/>
      <c r="Y82" s="4"/>
      <c r="Z82" s="4"/>
      <c r="AA82" s="4"/>
      <c r="AB82" s="4"/>
      <c r="AC82" s="4"/>
      <c r="AD82" s="4"/>
    </row>
    <row r="83" spans="1:30" outlineLevel="1">
      <c r="A83" t="s">
        <v>313</v>
      </c>
      <c r="B83" t="s">
        <v>398</v>
      </c>
      <c r="I83" s="4"/>
      <c r="L83" s="4"/>
      <c r="R83" s="4"/>
      <c r="S83" s="4"/>
      <c r="T83" s="4"/>
      <c r="V83" s="4"/>
      <c r="W83" s="4"/>
      <c r="X83" s="4"/>
      <c r="Y83" s="4"/>
      <c r="Z83" s="4"/>
      <c r="AA83" s="4"/>
      <c r="AB83" s="4"/>
      <c r="AC83" s="4"/>
      <c r="AD83" s="4"/>
    </row>
    <row r="84" spans="1:30" outlineLevel="1">
      <c r="A84" t="s">
        <v>315</v>
      </c>
      <c r="B84" t="s">
        <v>399</v>
      </c>
      <c r="I84" s="4"/>
      <c r="L84" s="4"/>
      <c r="R84" s="4"/>
      <c r="S84" s="4"/>
      <c r="T84" s="4"/>
      <c r="V84" s="4"/>
      <c r="W84" s="4"/>
      <c r="X84" s="4"/>
      <c r="Y84" s="4"/>
      <c r="Z84" s="4"/>
      <c r="AA84" s="4"/>
      <c r="AB84" s="4"/>
      <c r="AC84" s="4"/>
      <c r="AD84" s="4"/>
    </row>
    <row r="85" spans="1:30" outlineLevel="1">
      <c r="A85" t="s">
        <v>317</v>
      </c>
      <c r="B85" t="s">
        <v>400</v>
      </c>
      <c r="I85" s="4"/>
      <c r="L85" s="4"/>
      <c r="R85" s="4"/>
      <c r="S85" s="4"/>
      <c r="T85" s="4"/>
      <c r="V85" s="4"/>
      <c r="W85" s="4"/>
      <c r="X85" s="4"/>
      <c r="Y85" s="4"/>
      <c r="Z85" s="4"/>
      <c r="AA85" s="4"/>
      <c r="AB85" s="4"/>
      <c r="AC85" s="4"/>
      <c r="AD85" s="4"/>
    </row>
    <row r="86" spans="1:30" outlineLevel="1">
      <c r="A86" t="s">
        <v>319</v>
      </c>
      <c r="B86" t="s">
        <v>401</v>
      </c>
      <c r="I86" s="4"/>
      <c r="L86" s="4"/>
      <c r="R86" s="4"/>
      <c r="S86" s="4"/>
      <c r="T86" s="4"/>
      <c r="V86" s="4"/>
      <c r="W86" s="4"/>
      <c r="X86" s="4"/>
      <c r="Y86" s="4"/>
      <c r="Z86" s="4"/>
      <c r="AA86" s="4"/>
      <c r="AB86" s="4"/>
      <c r="AC86" s="4"/>
      <c r="AD86" s="4"/>
    </row>
    <row r="87" spans="1:30" outlineLevel="1">
      <c r="A87" t="s">
        <v>339</v>
      </c>
      <c r="B87" t="s">
        <v>402</v>
      </c>
      <c r="I87" s="4"/>
      <c r="L87" s="4"/>
      <c r="R87" s="4"/>
      <c r="S87" s="4"/>
      <c r="T87" s="4"/>
      <c r="V87" s="4"/>
      <c r="W87" s="4"/>
      <c r="X87" s="4"/>
      <c r="Y87" s="4"/>
      <c r="Z87" s="4"/>
      <c r="AA87" s="4"/>
      <c r="AB87" s="4"/>
      <c r="AC87" s="4"/>
      <c r="AD87" s="4"/>
    </row>
    <row r="88" spans="1:30" outlineLevel="1">
      <c r="A88" t="s">
        <v>340</v>
      </c>
      <c r="B88" t="s">
        <v>403</v>
      </c>
      <c r="I88" s="4"/>
      <c r="L88" s="4"/>
      <c r="R88" s="4"/>
      <c r="S88" s="4"/>
      <c r="T88" s="4"/>
      <c r="V88" s="4"/>
      <c r="W88" s="4"/>
      <c r="X88" s="4"/>
      <c r="Y88" s="4"/>
      <c r="Z88" s="4"/>
      <c r="AA88" s="4"/>
      <c r="AB88" s="4"/>
      <c r="AC88" s="4"/>
      <c r="AD88" s="4"/>
    </row>
    <row r="89" spans="1:30" outlineLevel="1">
      <c r="A89" t="s">
        <v>341</v>
      </c>
      <c r="B89" t="s">
        <v>404</v>
      </c>
      <c r="I89" s="4"/>
      <c r="L89" s="4"/>
      <c r="R89" s="4"/>
      <c r="S89" s="4"/>
      <c r="T89" s="4"/>
      <c r="V89" s="4"/>
      <c r="W89" s="4"/>
      <c r="X89" s="4"/>
      <c r="Y89" s="4"/>
      <c r="Z89" s="4"/>
      <c r="AA89" s="4"/>
      <c r="AB89" s="4"/>
      <c r="AC89" s="4"/>
      <c r="AD89" s="4"/>
    </row>
    <row r="90" spans="1:30" outlineLevel="1">
      <c r="A90" t="s">
        <v>342</v>
      </c>
      <c r="B90" t="s">
        <v>405</v>
      </c>
      <c r="I90" s="4"/>
      <c r="L90" s="4"/>
      <c r="R90" s="4"/>
      <c r="S90" s="4"/>
      <c r="T90" s="4"/>
      <c r="V90" s="4"/>
      <c r="W90" s="4"/>
      <c r="X90" s="4"/>
      <c r="Y90" s="4"/>
      <c r="Z90" s="4"/>
      <c r="AA90" s="4"/>
      <c r="AB90" s="4"/>
      <c r="AC90" s="4"/>
      <c r="AD90" s="4"/>
    </row>
    <row r="91" spans="1:30" outlineLevel="1">
      <c r="A91" t="s">
        <v>343</v>
      </c>
      <c r="B91" t="s">
        <v>344</v>
      </c>
      <c r="I91" s="4"/>
      <c r="L91" s="4"/>
      <c r="R91" s="4"/>
      <c r="S91" s="4"/>
      <c r="T91" s="4"/>
      <c r="V91" s="4"/>
      <c r="W91" s="4"/>
      <c r="X91" s="4"/>
      <c r="Y91" s="4"/>
      <c r="Z91" s="4"/>
      <c r="AA91" s="4"/>
      <c r="AB91" s="4"/>
      <c r="AC91" s="4"/>
      <c r="AD91" s="4"/>
    </row>
    <row r="92" spans="1:30" outlineLevel="1">
      <c r="A92" t="s">
        <v>345</v>
      </c>
      <c r="B92" t="s">
        <v>346</v>
      </c>
      <c r="I92" s="4"/>
      <c r="L92" s="4"/>
      <c r="R92" s="4"/>
      <c r="S92" s="4"/>
      <c r="T92" s="4"/>
      <c r="V92" s="4"/>
      <c r="W92" s="4"/>
      <c r="X92" s="4"/>
      <c r="Y92" s="4"/>
      <c r="Z92" s="4"/>
      <c r="AA92" s="4"/>
      <c r="AB92" s="4"/>
      <c r="AC92" s="4"/>
      <c r="AD92" s="4"/>
    </row>
    <row r="93" spans="1:30" outlineLevel="1">
      <c r="A93" t="s">
        <v>347</v>
      </c>
      <c r="B93" t="s">
        <v>348</v>
      </c>
      <c r="I93" s="4"/>
      <c r="L93" s="4"/>
      <c r="R93" s="4"/>
      <c r="S93" s="4"/>
      <c r="T93" s="4"/>
      <c r="V93" s="4"/>
      <c r="W93" s="4"/>
      <c r="X93" s="4"/>
      <c r="Y93" s="4"/>
      <c r="Z93" s="4"/>
      <c r="AA93" s="4"/>
      <c r="AB93" s="4"/>
      <c r="AC93" s="4"/>
      <c r="AD93" s="4"/>
    </row>
    <row r="94" spans="1:30" outlineLevel="1">
      <c r="A94" t="s">
        <v>349</v>
      </c>
      <c r="B94" t="s">
        <v>350</v>
      </c>
      <c r="I94" s="4"/>
      <c r="L94" s="4"/>
      <c r="R94" s="4"/>
      <c r="S94" s="4"/>
      <c r="T94" s="4"/>
      <c r="V94" s="4"/>
      <c r="W94" s="4"/>
      <c r="X94" s="4"/>
      <c r="Y94" s="4"/>
      <c r="Z94" s="4"/>
      <c r="AA94" s="4"/>
      <c r="AB94" s="4"/>
      <c r="AC94" s="4"/>
      <c r="AD94" s="4"/>
    </row>
    <row r="95" spans="1:30" outlineLevel="1">
      <c r="A95" t="s">
        <v>351</v>
      </c>
      <c r="B95" t="s">
        <v>352</v>
      </c>
      <c r="I95" s="4"/>
      <c r="L95" s="4"/>
      <c r="R95" s="4"/>
      <c r="S95" s="4"/>
      <c r="T95" s="4"/>
      <c r="V95" s="4"/>
      <c r="W95" s="4"/>
      <c r="X95" s="4"/>
      <c r="Y95" s="4"/>
      <c r="Z95" s="4"/>
      <c r="AA95" s="4"/>
      <c r="AB95" s="4"/>
      <c r="AC95" s="4"/>
      <c r="AD95" s="4"/>
    </row>
    <row r="96" spans="1:30" outlineLevel="1">
      <c r="A96" t="s">
        <v>353</v>
      </c>
      <c r="B96" t="s">
        <v>354</v>
      </c>
      <c r="I96" s="4"/>
      <c r="L96" s="4"/>
      <c r="R96" s="4"/>
      <c r="S96" s="4"/>
      <c r="T96" s="4"/>
      <c r="V96" s="4"/>
      <c r="W96" s="4"/>
      <c r="X96" s="4"/>
      <c r="Y96" s="4"/>
      <c r="Z96" s="4"/>
      <c r="AA96" s="4"/>
      <c r="AB96" s="4"/>
      <c r="AC96" s="4"/>
      <c r="AD96" s="4"/>
    </row>
    <row r="97" spans="1:30" outlineLevel="1">
      <c r="A97" t="s">
        <v>355</v>
      </c>
      <c r="B97" t="s">
        <v>356</v>
      </c>
      <c r="I97" s="4"/>
      <c r="L97" s="4"/>
      <c r="R97" s="4"/>
      <c r="S97" s="4"/>
      <c r="T97" s="4"/>
      <c r="V97" s="4"/>
      <c r="W97" s="4"/>
      <c r="X97" s="4"/>
      <c r="Y97" s="4"/>
      <c r="Z97" s="4"/>
      <c r="AA97" s="4"/>
      <c r="AB97" s="4"/>
      <c r="AC97" s="4"/>
      <c r="AD97" s="4"/>
    </row>
    <row r="98" spans="1:30" outlineLevel="1">
      <c r="A98" t="s">
        <v>357</v>
      </c>
      <c r="B98" t="s">
        <v>358</v>
      </c>
      <c r="I98" s="4"/>
      <c r="L98" s="4"/>
      <c r="R98" s="4"/>
      <c r="S98" s="4"/>
      <c r="T98" s="4"/>
      <c r="V98" s="4"/>
      <c r="W98" s="4"/>
      <c r="X98" s="4"/>
      <c r="Y98" s="4"/>
      <c r="Z98" s="4"/>
      <c r="AA98" s="4"/>
      <c r="AB98" s="4"/>
      <c r="AC98" s="4"/>
      <c r="AD98" s="4"/>
    </row>
    <row r="99" spans="1:30" outlineLevel="1">
      <c r="A99" t="s">
        <v>359</v>
      </c>
      <c r="B99" t="s">
        <v>406</v>
      </c>
      <c r="I99" s="4"/>
      <c r="L99" s="4"/>
      <c r="R99" s="4"/>
      <c r="S99" s="4"/>
      <c r="T99" s="4"/>
      <c r="V99" s="4"/>
      <c r="W99" s="4"/>
      <c r="X99" s="4"/>
      <c r="Y99" s="4"/>
      <c r="Z99" s="4"/>
      <c r="AA99" s="4"/>
      <c r="AB99" s="4"/>
      <c r="AC99" s="4"/>
      <c r="AD99" s="4"/>
    </row>
    <row r="100" spans="1:30" outlineLevel="1">
      <c r="A100" t="s">
        <v>360</v>
      </c>
      <c r="B100" t="s">
        <v>407</v>
      </c>
      <c r="I100" s="4"/>
      <c r="L100" s="4"/>
      <c r="R100" s="4"/>
      <c r="S100" s="4"/>
      <c r="T100" s="4"/>
      <c r="V100" s="4"/>
      <c r="W100" s="4"/>
      <c r="X100" s="4"/>
      <c r="Y100" s="4"/>
      <c r="Z100" s="4"/>
      <c r="AA100" s="4"/>
      <c r="AB100" s="4"/>
      <c r="AC100" s="4"/>
      <c r="AD100" s="4"/>
    </row>
    <row r="101" spans="1:30" outlineLevel="1">
      <c r="A101" t="s">
        <v>361</v>
      </c>
      <c r="B101" t="s">
        <v>408</v>
      </c>
      <c r="I101" s="4"/>
      <c r="L101" s="4"/>
      <c r="R101" s="4"/>
      <c r="S101" s="4"/>
      <c r="T101" s="4"/>
      <c r="V101" s="4"/>
      <c r="W101" s="4"/>
      <c r="X101" s="4"/>
      <c r="Y101" s="4"/>
      <c r="Z101" s="4"/>
      <c r="AA101" s="4"/>
      <c r="AB101" s="4"/>
      <c r="AC101" s="4"/>
      <c r="AD101" s="4"/>
    </row>
    <row r="102" spans="1:30" outlineLevel="1">
      <c r="A102" t="s">
        <v>362</v>
      </c>
      <c r="B102" t="s">
        <v>409</v>
      </c>
      <c r="I102" s="4"/>
      <c r="L102" s="4"/>
      <c r="R102" s="4"/>
      <c r="S102" s="4"/>
      <c r="T102" s="4"/>
      <c r="V102" s="4"/>
      <c r="W102" s="4"/>
      <c r="X102" s="4"/>
      <c r="Y102" s="4"/>
      <c r="Z102" s="4"/>
      <c r="AA102" s="4"/>
      <c r="AB102" s="4"/>
      <c r="AC102" s="4"/>
      <c r="AD102" s="4"/>
    </row>
    <row r="103" spans="1:30" outlineLevel="1">
      <c r="A103" t="s">
        <v>363</v>
      </c>
      <c r="B103" t="s">
        <v>410</v>
      </c>
      <c r="I103" s="4"/>
      <c r="L103" s="4"/>
      <c r="R103" s="4"/>
      <c r="S103" s="4"/>
      <c r="T103" s="4"/>
      <c r="V103" s="4"/>
      <c r="W103" s="4"/>
      <c r="X103" s="4"/>
      <c r="Y103" s="4"/>
      <c r="Z103" s="4"/>
      <c r="AA103" s="4"/>
      <c r="AB103" s="4"/>
      <c r="AC103" s="4"/>
      <c r="AD103" s="4"/>
    </row>
    <row r="104" spans="1:30" outlineLevel="1">
      <c r="A104" t="s">
        <v>364</v>
      </c>
      <c r="B104" t="s">
        <v>365</v>
      </c>
      <c r="I104" s="4"/>
      <c r="L104" s="4"/>
      <c r="R104" s="4"/>
      <c r="S104" s="4"/>
      <c r="T104" s="4"/>
      <c r="V104" s="4"/>
      <c r="W104" s="4"/>
      <c r="X104" s="4"/>
      <c r="Y104" s="4"/>
      <c r="Z104" s="4"/>
      <c r="AA104" s="4"/>
      <c r="AB104" s="4"/>
      <c r="AC104" s="4"/>
      <c r="AD104" s="4"/>
    </row>
    <row r="105" spans="1:30" outlineLevel="1">
      <c r="A105" t="s">
        <v>366</v>
      </c>
      <c r="B105" t="s">
        <v>411</v>
      </c>
      <c r="I105" s="4"/>
      <c r="L105" s="4"/>
      <c r="R105" s="4"/>
      <c r="S105" s="4"/>
      <c r="T105" s="4"/>
      <c r="V105" s="4"/>
      <c r="W105" s="4"/>
      <c r="X105" s="4"/>
      <c r="Y105" s="4"/>
      <c r="Z105" s="4"/>
      <c r="AA105" s="4"/>
      <c r="AB105" s="4"/>
      <c r="AC105" s="4"/>
      <c r="AD105" s="4"/>
    </row>
    <row r="106" spans="1:30" outlineLevel="1">
      <c r="A106" t="s">
        <v>367</v>
      </c>
      <c r="B106" t="s">
        <v>412</v>
      </c>
      <c r="I106" s="4"/>
      <c r="L106" s="4"/>
      <c r="R106" s="4"/>
      <c r="S106" s="4"/>
      <c r="T106" s="4"/>
      <c r="V106" s="4"/>
      <c r="W106" s="4"/>
      <c r="X106" s="4"/>
      <c r="Y106" s="4"/>
      <c r="Z106" s="4"/>
      <c r="AA106" s="4"/>
      <c r="AB106" s="4"/>
      <c r="AC106" s="4"/>
      <c r="AD106" s="4"/>
    </row>
    <row r="107" spans="1:30" outlineLevel="1">
      <c r="A107" t="s">
        <v>368</v>
      </c>
      <c r="B107" t="s">
        <v>369</v>
      </c>
      <c r="I107" s="4"/>
      <c r="L107" s="4"/>
      <c r="R107" s="4"/>
      <c r="S107" s="4"/>
      <c r="T107" s="4"/>
      <c r="V107" s="4"/>
      <c r="W107" s="4"/>
      <c r="X107" s="4"/>
      <c r="Y107" s="4"/>
      <c r="Z107" s="4"/>
      <c r="AA107" s="4"/>
      <c r="AB107" s="4"/>
      <c r="AC107" s="4"/>
      <c r="AD107" s="4"/>
    </row>
    <row r="108" spans="1:30" outlineLevel="1">
      <c r="A108" t="s">
        <v>370</v>
      </c>
      <c r="B108" t="s">
        <v>413</v>
      </c>
      <c r="I108" s="4"/>
      <c r="L108" s="4"/>
      <c r="R108" s="4"/>
      <c r="S108" s="4"/>
      <c r="T108" s="4"/>
      <c r="V108" s="4"/>
      <c r="W108" s="4"/>
      <c r="X108" s="4"/>
      <c r="Y108" s="4"/>
      <c r="Z108" s="4"/>
      <c r="AA108" s="4"/>
      <c r="AB108" s="4"/>
      <c r="AC108" s="4"/>
      <c r="AD108" s="4"/>
    </row>
    <row r="109" spans="1:30" outlineLevel="1">
      <c r="A109" t="s">
        <v>371</v>
      </c>
      <c r="B109" t="s">
        <v>414</v>
      </c>
      <c r="I109" s="4"/>
      <c r="L109" s="4"/>
      <c r="R109" s="4"/>
      <c r="S109" s="4"/>
      <c r="T109" s="4"/>
      <c r="V109" s="4"/>
      <c r="W109" s="4"/>
      <c r="X109" s="4"/>
      <c r="Y109" s="4"/>
      <c r="Z109" s="4"/>
      <c r="AA109" s="4"/>
      <c r="AB109" s="4"/>
      <c r="AC109" s="4"/>
      <c r="AD109" s="4"/>
    </row>
    <row r="110" spans="1:30" outlineLevel="1">
      <c r="A110" t="s">
        <v>321</v>
      </c>
      <c r="B110" t="s">
        <v>450</v>
      </c>
      <c r="I110" s="4"/>
      <c r="L110" s="4"/>
      <c r="R110" s="4"/>
      <c r="S110" s="4"/>
      <c r="T110" s="4"/>
      <c r="V110" s="4"/>
      <c r="W110" s="4"/>
      <c r="X110" s="4"/>
      <c r="Y110" s="4"/>
      <c r="Z110" s="4"/>
      <c r="AA110" s="4"/>
      <c r="AB110" s="4"/>
      <c r="AC110" s="4"/>
      <c r="AD110" s="4"/>
    </row>
    <row r="111" spans="1:30" outlineLevel="1">
      <c r="A111" t="s">
        <v>323</v>
      </c>
      <c r="B111" t="s">
        <v>383</v>
      </c>
      <c r="I111" s="4"/>
      <c r="L111" s="4"/>
      <c r="R111" s="4"/>
      <c r="S111" s="4"/>
      <c r="T111" s="4"/>
      <c r="V111" s="4"/>
      <c r="W111" s="4"/>
      <c r="X111" s="4"/>
      <c r="Y111" s="4"/>
      <c r="Z111" s="4"/>
      <c r="AA111" s="4"/>
      <c r="AB111" s="4"/>
      <c r="AC111" s="4"/>
      <c r="AD111" s="4"/>
    </row>
    <row r="112" spans="1:30" outlineLevel="1">
      <c r="A112" t="s">
        <v>327</v>
      </c>
      <c r="B112" t="s">
        <v>416</v>
      </c>
      <c r="I112" s="4"/>
      <c r="L112" s="4"/>
      <c r="R112" s="4"/>
      <c r="S112" s="4"/>
      <c r="T112" s="4"/>
      <c r="V112" s="4"/>
      <c r="W112" s="4"/>
      <c r="X112" s="4"/>
      <c r="Y112" s="4"/>
      <c r="Z112" s="4"/>
      <c r="AA112" s="4"/>
      <c r="AB112" s="4"/>
      <c r="AC112" s="4"/>
      <c r="AD112" s="4"/>
    </row>
    <row r="113" spans="1:35" outlineLevel="1">
      <c r="A113" t="s">
        <v>329</v>
      </c>
      <c r="B113" t="s">
        <v>330</v>
      </c>
      <c r="I113" s="4"/>
      <c r="L113" s="4"/>
      <c r="R113" s="4"/>
      <c r="S113" s="4"/>
      <c r="T113" s="4"/>
      <c r="V113" s="4"/>
      <c r="W113" s="4"/>
      <c r="X113" s="4"/>
      <c r="Y113" s="4"/>
      <c r="Z113" s="4"/>
      <c r="AA113" s="4"/>
      <c r="AB113" s="4"/>
      <c r="AC113" s="4"/>
      <c r="AD113" s="4"/>
    </row>
    <row r="114" spans="1:35" outlineLevel="1">
      <c r="A114" t="s">
        <v>331</v>
      </c>
      <c r="B114" t="s">
        <v>330</v>
      </c>
      <c r="I114" s="4"/>
      <c r="L114" s="4"/>
      <c r="R114" s="4"/>
      <c r="S114" s="4"/>
      <c r="T114" s="4"/>
      <c r="V114" s="4"/>
      <c r="W114" s="4"/>
      <c r="X114" s="4"/>
      <c r="Y114" s="4"/>
      <c r="Z114" s="4"/>
      <c r="AA114" s="4"/>
      <c r="AB114" s="4"/>
      <c r="AC114" s="4"/>
      <c r="AD114" s="4"/>
    </row>
    <row r="115" spans="1:35" outlineLevel="1">
      <c r="A115" t="s">
        <v>334</v>
      </c>
      <c r="B115" t="s">
        <v>384</v>
      </c>
      <c r="I115" s="4"/>
      <c r="L115" s="4"/>
      <c r="R115" s="4"/>
      <c r="S115" s="4"/>
      <c r="T115" s="4"/>
      <c r="U115" s="4"/>
      <c r="V115" s="4"/>
      <c r="W115" s="4"/>
      <c r="X115" s="4"/>
      <c r="Y115" s="4"/>
      <c r="Z115" s="4"/>
      <c r="AA115" s="4"/>
      <c r="AB115" s="4"/>
      <c r="AC115" s="4"/>
      <c r="AD115" s="4"/>
    </row>
    <row r="116" spans="1:35" outlineLevel="1">
      <c r="A116" t="s">
        <v>336</v>
      </c>
      <c r="B116" t="s">
        <v>337</v>
      </c>
      <c r="I116" s="4"/>
      <c r="J116" s="4"/>
      <c r="K116" s="4"/>
      <c r="L116" s="4"/>
      <c r="M116" s="4"/>
      <c r="N116" s="4"/>
      <c r="O116" s="4"/>
      <c r="R116" s="4"/>
      <c r="S116" s="4"/>
      <c r="T116" s="4"/>
      <c r="U116" s="4"/>
      <c r="V116" s="4"/>
      <c r="W116" s="4"/>
      <c r="X116" s="4"/>
      <c r="Y116" s="4"/>
      <c r="Z116" s="4"/>
      <c r="AA116" s="4"/>
      <c r="AB116" s="4"/>
      <c r="AC116" s="4"/>
      <c r="AD116" s="4"/>
    </row>
    <row r="117" spans="1:35" outlineLevel="1">
      <c r="R117" s="4"/>
      <c r="S117" s="4"/>
      <c r="U117" s="4"/>
      <c r="V117" s="4"/>
      <c r="W117" s="4"/>
      <c r="X117" s="4"/>
      <c r="Y117" s="4"/>
      <c r="Z117" s="4"/>
      <c r="AA117" s="4"/>
      <c r="AB117" s="4"/>
      <c r="AC117" s="4"/>
      <c r="AD117" s="4"/>
    </row>
    <row r="118" spans="1:35">
      <c r="A118" t="s">
        <v>384</v>
      </c>
      <c r="B118" t="s">
        <v>338</v>
      </c>
      <c r="C118" t="s">
        <v>133</v>
      </c>
      <c r="D118" t="s">
        <v>134</v>
      </c>
      <c r="E118" t="s">
        <v>135</v>
      </c>
      <c r="F118" t="s">
        <v>167</v>
      </c>
      <c r="G118" t="s">
        <v>136</v>
      </c>
      <c r="H118" t="s">
        <v>137</v>
      </c>
      <c r="I118" t="s">
        <v>372</v>
      </c>
      <c r="J118" t="s">
        <v>418</v>
      </c>
      <c r="K118" t="s">
        <v>81</v>
      </c>
      <c r="L118" t="s">
        <v>3</v>
      </c>
      <c r="M118" t="s">
        <v>4</v>
      </c>
      <c r="N118" t="s">
        <v>373</v>
      </c>
      <c r="O118" t="s">
        <v>374</v>
      </c>
      <c r="P118" t="s">
        <v>82</v>
      </c>
      <c r="Q118" t="s">
        <v>5</v>
      </c>
      <c r="R118" t="s">
        <v>6</v>
      </c>
      <c r="S118" t="s">
        <v>143</v>
      </c>
      <c r="T118" t="s">
        <v>168</v>
      </c>
      <c r="U118" t="s">
        <v>169</v>
      </c>
      <c r="V118" t="s">
        <v>220</v>
      </c>
      <c r="W118" t="s">
        <v>222</v>
      </c>
      <c r="X118" t="s">
        <v>221</v>
      </c>
      <c r="Y118" t="s">
        <v>419</v>
      </c>
      <c r="Z118" t="s">
        <v>420</v>
      </c>
      <c r="AA118" t="s">
        <v>421</v>
      </c>
      <c r="AB118" t="s">
        <v>422</v>
      </c>
      <c r="AC118" t="s">
        <v>423</v>
      </c>
      <c r="AD118" t="s">
        <v>7</v>
      </c>
      <c r="AE118" t="s">
        <v>424</v>
      </c>
      <c r="AF118" t="s">
        <v>150</v>
      </c>
      <c r="AG118" t="s">
        <v>140</v>
      </c>
      <c r="AH118" t="s">
        <v>141</v>
      </c>
      <c r="AI118" t="s">
        <v>142</v>
      </c>
    </row>
    <row r="119" spans="1:35" s="1" customFormat="1">
      <c r="A119" s="1" t="s">
        <v>43</v>
      </c>
      <c r="B119" s="1" t="s">
        <v>44</v>
      </c>
      <c r="C119" s="1">
        <v>5.8387720999999999</v>
      </c>
      <c r="D119" s="1">
        <v>5.5629663999999996</v>
      </c>
      <c r="E119" s="1">
        <v>3.1319558000000001</v>
      </c>
      <c r="F119" s="1">
        <v>76.349905000000007</v>
      </c>
      <c r="G119" s="1">
        <v>4.8789094000000004</v>
      </c>
      <c r="H119" s="1">
        <v>2950.3508000000002</v>
      </c>
      <c r="I119" s="1">
        <v>0.10006507000000001</v>
      </c>
      <c r="J119" s="1">
        <v>0.35143109</v>
      </c>
      <c r="K119" s="1">
        <v>0.36946380000000001</v>
      </c>
      <c r="L119" s="1">
        <v>0.29077821999999998</v>
      </c>
      <c r="M119" s="1">
        <v>0.21062322999999999</v>
      </c>
      <c r="N119" s="1">
        <v>4.0307163999999999E-2</v>
      </c>
      <c r="O119" s="1">
        <v>1.1909972E-2</v>
      </c>
      <c r="P119" s="1">
        <v>0.31196265000000001</v>
      </c>
      <c r="Q119" s="1">
        <v>1.9884818</v>
      </c>
      <c r="R119" s="1">
        <v>1.7928E-3</v>
      </c>
      <c r="S119" s="1">
        <v>3.4456117000000001E-3</v>
      </c>
      <c r="T119" s="1">
        <v>2.9449889999999999E-3</v>
      </c>
      <c r="U119" s="1">
        <v>3.6729678999999999E-3</v>
      </c>
      <c r="V119" s="1">
        <v>3.2160295999999998E-3</v>
      </c>
      <c r="W119" s="1">
        <v>6.4511059999999999E-3</v>
      </c>
      <c r="X119" s="1">
        <v>3.4265207E-3</v>
      </c>
      <c r="Y119" s="1">
        <v>0</v>
      </c>
      <c r="Z119" s="1">
        <v>0</v>
      </c>
      <c r="AA119" s="1">
        <v>0</v>
      </c>
      <c r="AB119" s="1">
        <v>0</v>
      </c>
      <c r="AC119" s="1">
        <v>0</v>
      </c>
      <c r="AD119" s="1">
        <v>2.3231638999999999E-3</v>
      </c>
      <c r="AE119" s="1">
        <v>22.473794000000002</v>
      </c>
      <c r="AF119" s="1">
        <v>8.2993260000000006</v>
      </c>
      <c r="AG119" s="1">
        <v>34.475658000000003</v>
      </c>
      <c r="AH119" s="1">
        <v>185.79686000000001</v>
      </c>
      <c r="AI119" s="1">
        <v>1.2947744000000001</v>
      </c>
    </row>
    <row r="120" spans="1:35" s="1" customFormat="1">
      <c r="A120" s="1" t="s">
        <v>43</v>
      </c>
      <c r="B120" s="1" t="s">
        <v>44</v>
      </c>
      <c r="C120" s="1">
        <v>5.3815695999999997</v>
      </c>
      <c r="D120" s="1">
        <v>5.2149711999999999</v>
      </c>
      <c r="E120" s="1">
        <v>2.8853710000000001</v>
      </c>
      <c r="F120" s="1">
        <v>95.001891999999998</v>
      </c>
      <c r="G120" s="1">
        <v>4.4942538000000001</v>
      </c>
      <c r="H120" s="1">
        <v>2325.6410999999998</v>
      </c>
      <c r="I120" s="1">
        <v>0.12231567</v>
      </c>
      <c r="J120" s="1">
        <v>0.3161735</v>
      </c>
      <c r="K120" s="1">
        <v>0.32757449999999999</v>
      </c>
      <c r="L120" s="1">
        <v>0.24585672</v>
      </c>
      <c r="M120" s="1">
        <v>0.19252105999999999</v>
      </c>
      <c r="N120" s="1">
        <v>3.7303157000000003E-2</v>
      </c>
      <c r="O120" s="1">
        <v>1.0529761E-2</v>
      </c>
      <c r="P120" s="1">
        <v>0.30231928000000002</v>
      </c>
      <c r="Q120" s="1">
        <v>1.576454</v>
      </c>
      <c r="R120" s="1">
        <v>4.4425306999999997E-2</v>
      </c>
      <c r="S120" s="1">
        <v>3.6857659E-3</v>
      </c>
      <c r="T120" s="1">
        <v>3.1564789000000002E-3</v>
      </c>
      <c r="U120" s="1">
        <v>3.786326E-3</v>
      </c>
      <c r="V120" s="1">
        <v>2.916723E-3</v>
      </c>
      <c r="W120" s="1">
        <v>5.9570665000000002E-3</v>
      </c>
      <c r="X120" s="1">
        <v>3.1363595999999998E-3</v>
      </c>
      <c r="Y120" s="1">
        <v>0</v>
      </c>
      <c r="Z120" s="1">
        <v>0</v>
      </c>
      <c r="AA120" s="1">
        <v>0</v>
      </c>
      <c r="AB120" s="1">
        <v>0</v>
      </c>
      <c r="AC120" s="1">
        <v>0</v>
      </c>
      <c r="AD120" s="1">
        <v>2.5531967E-3</v>
      </c>
      <c r="AE120" s="1">
        <v>22.216926000000001</v>
      </c>
      <c r="AF120" s="1">
        <v>7.0452516999999997</v>
      </c>
      <c r="AG120" s="1">
        <v>33.581522999999997</v>
      </c>
      <c r="AH120" s="1">
        <v>178.28671</v>
      </c>
      <c r="AI120" s="1">
        <v>1.1958507</v>
      </c>
    </row>
    <row r="121" spans="1:35">
      <c r="B121" s="26"/>
    </row>
    <row r="122" spans="1:35" outlineLevel="1">
      <c r="A122" t="s">
        <v>297</v>
      </c>
      <c r="B122" t="s">
        <v>298</v>
      </c>
    </row>
    <row r="123" spans="1:35" outlineLevel="1">
      <c r="A123" t="s">
        <v>299</v>
      </c>
      <c r="B123" t="s">
        <v>300</v>
      </c>
    </row>
    <row r="124" spans="1:35" outlineLevel="1">
      <c r="A124" t="s">
        <v>301</v>
      </c>
      <c r="B124" t="s">
        <v>392</v>
      </c>
    </row>
    <row r="125" spans="1:35" outlineLevel="1">
      <c r="A125" t="s">
        <v>303</v>
      </c>
      <c r="B125" t="s">
        <v>393</v>
      </c>
    </row>
    <row r="126" spans="1:35" outlineLevel="1">
      <c r="A126" t="s">
        <v>305</v>
      </c>
      <c r="B126" t="s">
        <v>394</v>
      </c>
    </row>
    <row r="127" spans="1:35" outlineLevel="1">
      <c r="A127" t="s">
        <v>307</v>
      </c>
      <c r="B127" t="s">
        <v>395</v>
      </c>
    </row>
    <row r="128" spans="1:35" outlineLevel="1">
      <c r="A128" t="s">
        <v>309</v>
      </c>
      <c r="B128" t="s">
        <v>396</v>
      </c>
    </row>
    <row r="129" spans="1:2" outlineLevel="1">
      <c r="A129" t="s">
        <v>311</v>
      </c>
      <c r="B129" t="s">
        <v>397</v>
      </c>
    </row>
    <row r="130" spans="1:2" outlineLevel="1">
      <c r="A130" t="s">
        <v>313</v>
      </c>
      <c r="B130" t="s">
        <v>398</v>
      </c>
    </row>
    <row r="131" spans="1:2" outlineLevel="1">
      <c r="A131" t="s">
        <v>315</v>
      </c>
      <c r="B131" t="s">
        <v>399</v>
      </c>
    </row>
    <row r="132" spans="1:2" outlineLevel="1">
      <c r="A132" t="s">
        <v>317</v>
      </c>
      <c r="B132" t="s">
        <v>400</v>
      </c>
    </row>
    <row r="133" spans="1:2" outlineLevel="1">
      <c r="A133" t="s">
        <v>319</v>
      </c>
      <c r="B133" t="s">
        <v>401</v>
      </c>
    </row>
    <row r="134" spans="1:2" outlineLevel="1">
      <c r="A134" t="s">
        <v>339</v>
      </c>
      <c r="B134" t="s">
        <v>402</v>
      </c>
    </row>
    <row r="135" spans="1:2" outlineLevel="1">
      <c r="A135" t="s">
        <v>340</v>
      </c>
      <c r="B135" t="s">
        <v>403</v>
      </c>
    </row>
    <row r="136" spans="1:2" outlineLevel="1">
      <c r="A136" t="s">
        <v>341</v>
      </c>
      <c r="B136" t="s">
        <v>404</v>
      </c>
    </row>
    <row r="137" spans="1:2" outlineLevel="1">
      <c r="A137" t="s">
        <v>342</v>
      </c>
      <c r="B137" t="s">
        <v>405</v>
      </c>
    </row>
    <row r="138" spans="1:2" outlineLevel="1">
      <c r="A138" t="s">
        <v>343</v>
      </c>
      <c r="B138" t="s">
        <v>344</v>
      </c>
    </row>
    <row r="139" spans="1:2" outlineLevel="1">
      <c r="A139" t="s">
        <v>345</v>
      </c>
      <c r="B139" t="s">
        <v>346</v>
      </c>
    </row>
    <row r="140" spans="1:2" outlineLevel="1">
      <c r="A140" t="s">
        <v>347</v>
      </c>
      <c r="B140" t="s">
        <v>348</v>
      </c>
    </row>
    <row r="141" spans="1:2" outlineLevel="1">
      <c r="A141" t="s">
        <v>349</v>
      </c>
      <c r="B141" t="s">
        <v>350</v>
      </c>
    </row>
    <row r="142" spans="1:2" outlineLevel="1">
      <c r="A142" t="s">
        <v>351</v>
      </c>
      <c r="B142" t="s">
        <v>352</v>
      </c>
    </row>
    <row r="143" spans="1:2" outlineLevel="1">
      <c r="A143" t="s">
        <v>353</v>
      </c>
      <c r="B143" t="s">
        <v>354</v>
      </c>
    </row>
    <row r="144" spans="1:2" outlineLevel="1">
      <c r="A144" t="s">
        <v>355</v>
      </c>
      <c r="B144" t="s">
        <v>356</v>
      </c>
    </row>
    <row r="145" spans="1:2" outlineLevel="1">
      <c r="A145" t="s">
        <v>357</v>
      </c>
      <c r="B145" t="s">
        <v>358</v>
      </c>
    </row>
    <row r="146" spans="1:2" outlineLevel="1">
      <c r="A146" t="s">
        <v>359</v>
      </c>
      <c r="B146" t="s">
        <v>406</v>
      </c>
    </row>
    <row r="147" spans="1:2" outlineLevel="1">
      <c r="A147" t="s">
        <v>360</v>
      </c>
      <c r="B147" t="s">
        <v>407</v>
      </c>
    </row>
    <row r="148" spans="1:2" outlineLevel="1">
      <c r="A148" t="s">
        <v>361</v>
      </c>
      <c r="B148" t="s">
        <v>408</v>
      </c>
    </row>
    <row r="149" spans="1:2" outlineLevel="1">
      <c r="A149" t="s">
        <v>362</v>
      </c>
      <c r="B149" t="s">
        <v>409</v>
      </c>
    </row>
    <row r="150" spans="1:2" outlineLevel="1">
      <c r="A150" t="s">
        <v>363</v>
      </c>
      <c r="B150" t="s">
        <v>410</v>
      </c>
    </row>
    <row r="151" spans="1:2" outlineLevel="1">
      <c r="A151" t="s">
        <v>364</v>
      </c>
      <c r="B151" t="s">
        <v>365</v>
      </c>
    </row>
    <row r="152" spans="1:2" outlineLevel="1">
      <c r="A152" t="s">
        <v>366</v>
      </c>
      <c r="B152" t="s">
        <v>411</v>
      </c>
    </row>
    <row r="153" spans="1:2" outlineLevel="1">
      <c r="A153" t="s">
        <v>367</v>
      </c>
      <c r="B153" t="s">
        <v>412</v>
      </c>
    </row>
    <row r="154" spans="1:2" outlineLevel="1">
      <c r="A154" t="s">
        <v>368</v>
      </c>
      <c r="B154" t="s">
        <v>369</v>
      </c>
    </row>
    <row r="155" spans="1:2" outlineLevel="1">
      <c r="A155" t="s">
        <v>370</v>
      </c>
      <c r="B155" t="s">
        <v>413</v>
      </c>
    </row>
    <row r="156" spans="1:2" outlineLevel="1">
      <c r="A156" t="s">
        <v>371</v>
      </c>
      <c r="B156" t="s">
        <v>414</v>
      </c>
    </row>
    <row r="157" spans="1:2" outlineLevel="1">
      <c r="A157" t="s">
        <v>321</v>
      </c>
      <c r="B157" t="s">
        <v>385</v>
      </c>
    </row>
    <row r="158" spans="1:2" outlineLevel="1">
      <c r="A158" t="s">
        <v>323</v>
      </c>
      <c r="B158" t="s">
        <v>324</v>
      </c>
    </row>
    <row r="159" spans="1:2" outlineLevel="1">
      <c r="A159" t="s">
        <v>327</v>
      </c>
      <c r="B159" t="s">
        <v>328</v>
      </c>
    </row>
    <row r="160" spans="1:2" outlineLevel="1">
      <c r="A160" t="s">
        <v>417</v>
      </c>
      <c r="B160" t="s">
        <v>332</v>
      </c>
    </row>
    <row r="161" spans="1:35" outlineLevel="1">
      <c r="A161" t="s">
        <v>329</v>
      </c>
      <c r="B161" t="s">
        <v>330</v>
      </c>
    </row>
    <row r="162" spans="1:35" outlineLevel="1">
      <c r="A162" t="s">
        <v>331</v>
      </c>
      <c r="B162" t="s">
        <v>330</v>
      </c>
    </row>
    <row r="163" spans="1:35" outlineLevel="1">
      <c r="A163" t="s">
        <v>334</v>
      </c>
      <c r="B163" t="s">
        <v>384</v>
      </c>
    </row>
    <row r="164" spans="1:35" outlineLevel="1">
      <c r="A164" t="s">
        <v>336</v>
      </c>
      <c r="B164" t="s">
        <v>337</v>
      </c>
    </row>
    <row r="165" spans="1:35" outlineLevel="1"/>
    <row r="166" spans="1:35">
      <c r="A166" t="s">
        <v>384</v>
      </c>
      <c r="B166" t="s">
        <v>338</v>
      </c>
      <c r="C166" t="s">
        <v>133</v>
      </c>
      <c r="D166" t="s">
        <v>134</v>
      </c>
      <c r="E166" t="s">
        <v>135</v>
      </c>
      <c r="F166" t="s">
        <v>167</v>
      </c>
      <c r="G166" t="s">
        <v>136</v>
      </c>
      <c r="H166" t="s">
        <v>137</v>
      </c>
      <c r="I166" t="s">
        <v>372</v>
      </c>
      <c r="J166" t="s">
        <v>418</v>
      </c>
      <c r="K166" t="s">
        <v>81</v>
      </c>
      <c r="L166" t="s">
        <v>3</v>
      </c>
      <c r="M166" t="s">
        <v>4</v>
      </c>
      <c r="N166" t="s">
        <v>373</v>
      </c>
      <c r="O166" t="s">
        <v>374</v>
      </c>
      <c r="P166" t="s">
        <v>82</v>
      </c>
      <c r="Q166" t="s">
        <v>5</v>
      </c>
      <c r="R166" t="s">
        <v>6</v>
      </c>
      <c r="S166" t="s">
        <v>143</v>
      </c>
      <c r="T166" t="s">
        <v>168</v>
      </c>
      <c r="U166" t="s">
        <v>169</v>
      </c>
      <c r="V166" t="s">
        <v>220</v>
      </c>
      <c r="W166" t="s">
        <v>222</v>
      </c>
      <c r="X166" t="s">
        <v>221</v>
      </c>
      <c r="Y166" t="s">
        <v>419</v>
      </c>
      <c r="Z166" t="s">
        <v>420</v>
      </c>
      <c r="AA166" t="s">
        <v>421</v>
      </c>
      <c r="AB166" t="s">
        <v>422</v>
      </c>
      <c r="AC166" t="s">
        <v>423</v>
      </c>
      <c r="AD166" t="s">
        <v>7</v>
      </c>
      <c r="AE166" t="s">
        <v>424</v>
      </c>
      <c r="AF166" t="s">
        <v>150</v>
      </c>
      <c r="AG166" t="s">
        <v>140</v>
      </c>
      <c r="AH166" t="s">
        <v>141</v>
      </c>
      <c r="AI166" t="s">
        <v>142</v>
      </c>
    </row>
    <row r="167" spans="1:35" s="1" customFormat="1">
      <c r="A167" s="1" t="s">
        <v>39</v>
      </c>
      <c r="B167" s="1" t="s">
        <v>386</v>
      </c>
      <c r="C167" s="1">
        <v>89.737092000000004</v>
      </c>
      <c r="D167" s="1">
        <v>87.197652000000005</v>
      </c>
      <c r="E167" s="1">
        <v>56.89</v>
      </c>
      <c r="F167" s="1">
        <v>1411.2125000000001</v>
      </c>
      <c r="G167" s="1">
        <v>82.831785999999994</v>
      </c>
      <c r="H167" s="1">
        <v>24862.699000000001</v>
      </c>
      <c r="I167" s="1">
        <v>8.5752348000000005</v>
      </c>
      <c r="J167" s="1">
        <v>4.8248894</v>
      </c>
      <c r="K167" s="1">
        <v>5.0808019</v>
      </c>
      <c r="L167" s="1">
        <v>4.5956640000000002</v>
      </c>
      <c r="M167" s="1">
        <v>3.2671201999999999</v>
      </c>
      <c r="N167" s="1">
        <v>0.68727861999999995</v>
      </c>
      <c r="O167" s="1">
        <v>0.16732973000000001</v>
      </c>
      <c r="P167" s="1">
        <v>4.8039607999999996</v>
      </c>
      <c r="Q167" s="1">
        <v>0</v>
      </c>
      <c r="R167" s="1">
        <v>1.2260287999999999E-2</v>
      </c>
      <c r="S167" s="1">
        <v>1.0584147E-2</v>
      </c>
      <c r="T167" s="1">
        <v>9.7390522000000007E-3</v>
      </c>
      <c r="U167" s="1">
        <v>2.2280114E-2</v>
      </c>
      <c r="V167" s="1">
        <v>3.2378751999999997E-2</v>
      </c>
      <c r="W167" s="1">
        <v>0.11329496999999999</v>
      </c>
      <c r="X167" s="1">
        <v>0</v>
      </c>
      <c r="Y167" s="1">
        <v>0</v>
      </c>
      <c r="Z167" s="1">
        <v>0</v>
      </c>
      <c r="AA167" s="1">
        <v>0</v>
      </c>
      <c r="AB167" s="1">
        <v>0</v>
      </c>
      <c r="AC167" s="1">
        <v>0</v>
      </c>
      <c r="AD167" s="1">
        <v>0.1210212</v>
      </c>
      <c r="AE167" s="1">
        <v>432.43804</v>
      </c>
      <c r="AF167" s="1">
        <v>199.36283</v>
      </c>
      <c r="AG167" s="1">
        <v>219.93826000000001</v>
      </c>
      <c r="AH167" s="1">
        <v>2824.8130000000001</v>
      </c>
      <c r="AI167" s="1">
        <v>19.630457</v>
      </c>
    </row>
    <row r="168" spans="1:35">
      <c r="A168" t="s">
        <v>45</v>
      </c>
      <c r="B168" t="s">
        <v>386</v>
      </c>
      <c r="C168">
        <v>81.171767000000003</v>
      </c>
      <c r="D168">
        <v>77.562983000000003</v>
      </c>
      <c r="E168">
        <v>39.675469</v>
      </c>
      <c r="F168">
        <v>1016.7414</v>
      </c>
      <c r="G168">
        <v>66.301150000000007</v>
      </c>
      <c r="H168">
        <v>20735.850999999999</v>
      </c>
      <c r="I168">
        <v>1.2030871999999999</v>
      </c>
      <c r="J168">
        <v>4.7169011999999997</v>
      </c>
      <c r="K168">
        <v>4.9526776999999997</v>
      </c>
      <c r="L168">
        <v>4.5355027999999997</v>
      </c>
      <c r="M168">
        <v>3.0887411999999999</v>
      </c>
      <c r="N168">
        <v>0.49923074000000001</v>
      </c>
      <c r="O168">
        <v>0.1544026</v>
      </c>
      <c r="P168">
        <v>4.1951603000000004</v>
      </c>
      <c r="Q168">
        <v>0</v>
      </c>
      <c r="R168">
        <v>1.1624455000000001E-2</v>
      </c>
      <c r="S168">
        <v>8.5743929E-3</v>
      </c>
      <c r="T168">
        <v>8.7912866999999995E-3</v>
      </c>
      <c r="U168">
        <v>2.0634497000000002E-2</v>
      </c>
      <c r="V168">
        <v>2.9733487999999999E-2</v>
      </c>
      <c r="W168">
        <v>8.2560898999999993E-2</v>
      </c>
      <c r="X168">
        <v>0</v>
      </c>
      <c r="Y168">
        <v>0</v>
      </c>
      <c r="Z168">
        <v>0</v>
      </c>
      <c r="AA168">
        <v>0</v>
      </c>
      <c r="AB168">
        <v>0</v>
      </c>
      <c r="AC168">
        <v>0</v>
      </c>
      <c r="AD168">
        <v>2.7018088999999999E-2</v>
      </c>
      <c r="AE168">
        <v>408.27059000000003</v>
      </c>
      <c r="AF168">
        <v>190.89111</v>
      </c>
      <c r="AG168">
        <v>186.23522</v>
      </c>
      <c r="AH168">
        <v>2637.6615999999999</v>
      </c>
      <c r="AI168">
        <v>17.789853000000001</v>
      </c>
    </row>
    <row r="169" spans="1:35">
      <c r="A169" t="s">
        <v>46</v>
      </c>
      <c r="B169" t="s">
        <v>386</v>
      </c>
      <c r="C169">
        <v>8.4000809000000007</v>
      </c>
      <c r="D169">
        <v>9.4946376000000008</v>
      </c>
      <c r="E169">
        <v>17.190355</v>
      </c>
      <c r="F169">
        <v>394.06759</v>
      </c>
      <c r="G169">
        <v>16.522099000000001</v>
      </c>
      <c r="H169">
        <v>4124.0618000000004</v>
      </c>
      <c r="I169">
        <v>7.3720432000000002</v>
      </c>
      <c r="J169">
        <v>0.10779902</v>
      </c>
      <c r="K169">
        <v>0.11442363</v>
      </c>
      <c r="L169">
        <v>5.9817209000000003E-2</v>
      </c>
      <c r="M169">
        <v>0.17786097000000001</v>
      </c>
      <c r="N169">
        <v>0.18765209999999999</v>
      </c>
      <c r="O169">
        <v>1.2919164E-2</v>
      </c>
      <c r="P169">
        <v>0.60824871000000003</v>
      </c>
      <c r="Q169">
        <v>0</v>
      </c>
      <c r="R169">
        <v>6.3193007999999995E-4</v>
      </c>
      <c r="S169">
        <v>2.0072082E-3</v>
      </c>
      <c r="T169">
        <v>9.4355915000000001E-4</v>
      </c>
      <c r="U169">
        <v>1.6397719E-3</v>
      </c>
      <c r="V169">
        <v>2.6040397000000001E-3</v>
      </c>
      <c r="W169">
        <v>3.0716573E-2</v>
      </c>
      <c r="X169">
        <v>0</v>
      </c>
      <c r="Y169">
        <v>0</v>
      </c>
      <c r="Z169">
        <v>0</v>
      </c>
      <c r="AA169">
        <v>0</v>
      </c>
      <c r="AB169">
        <v>0</v>
      </c>
      <c r="AC169">
        <v>0</v>
      </c>
      <c r="AD169">
        <v>9.3996250000000003E-2</v>
      </c>
      <c r="AE169">
        <v>23.988502</v>
      </c>
      <c r="AF169">
        <v>8.3364975999999995</v>
      </c>
      <c r="AG169">
        <v>33.657477999999998</v>
      </c>
      <c r="AH169">
        <v>186.84549999999999</v>
      </c>
      <c r="AI169">
        <v>1.8379863999999999</v>
      </c>
    </row>
    <row r="170" spans="1:35">
      <c r="A170" t="s">
        <v>47</v>
      </c>
      <c r="B170" t="s">
        <v>386</v>
      </c>
      <c r="C170" s="4">
        <v>0.16524425000000001</v>
      </c>
      <c r="D170" s="4">
        <v>0.14003151999999999</v>
      </c>
      <c r="E170" s="4">
        <v>2.4176348E-2</v>
      </c>
      <c r="F170" s="4">
        <v>0.40348129999999999</v>
      </c>
      <c r="G170" s="4">
        <v>8.5373402000000001E-3</v>
      </c>
      <c r="H170" s="4">
        <v>2.7854405999999998</v>
      </c>
      <c r="I170" s="4">
        <v>1.0440088E-4</v>
      </c>
      <c r="J170" s="4">
        <v>1.8914518999999999E-4</v>
      </c>
      <c r="K170" s="4">
        <v>1.3700552E-2</v>
      </c>
      <c r="L170" s="4">
        <v>3.4390811000000002E-4</v>
      </c>
      <c r="M170" s="4">
        <v>5.1793971000000001E-4</v>
      </c>
      <c r="N170" s="4">
        <v>3.9578015999999999E-4</v>
      </c>
      <c r="O170" s="4">
        <v>7.9705659999999999E-6</v>
      </c>
      <c r="P170" s="4">
        <v>5.5185097999999998E-4</v>
      </c>
      <c r="Q170" s="4">
        <v>0</v>
      </c>
      <c r="R170" s="4">
        <v>3.9033796000000003E-6</v>
      </c>
      <c r="S170" s="4">
        <v>2.5460332E-6</v>
      </c>
      <c r="T170" s="4">
        <v>4.2064149000000003E-6</v>
      </c>
      <c r="U170" s="4">
        <v>5.8445433999999996E-6</v>
      </c>
      <c r="V170" s="4">
        <v>4.1224294999999997E-5</v>
      </c>
      <c r="W170" s="4">
        <v>1.7497171999999999E-5</v>
      </c>
      <c r="X170" s="4">
        <v>0</v>
      </c>
      <c r="Y170" s="4">
        <v>0</v>
      </c>
      <c r="Z170" s="4">
        <v>0</v>
      </c>
      <c r="AA170" s="4">
        <v>0</v>
      </c>
      <c r="AB170" s="4">
        <v>0</v>
      </c>
      <c r="AC170" s="4">
        <v>0</v>
      </c>
      <c r="AD170" s="4">
        <v>6.8630375000000003E-6</v>
      </c>
      <c r="AE170" s="4">
        <v>0.17894076</v>
      </c>
      <c r="AF170" s="4">
        <v>0.1352208</v>
      </c>
      <c r="AG170">
        <v>4.5562598000000003E-2</v>
      </c>
      <c r="AH170">
        <v>0.30590792999999999</v>
      </c>
      <c r="AI170" s="4">
        <v>2.6175928E-3</v>
      </c>
    </row>
    <row r="171" spans="1:35" s="1" customFormat="1">
      <c r="A171" s="1" t="s">
        <v>39</v>
      </c>
      <c r="B171" s="1" t="s">
        <v>386</v>
      </c>
      <c r="C171" s="1">
        <v>88.004527999999993</v>
      </c>
      <c r="D171" s="1">
        <v>86.210635999999994</v>
      </c>
      <c r="E171" s="1">
        <v>55.130293000000002</v>
      </c>
      <c r="F171" s="1">
        <v>1868.0571</v>
      </c>
      <c r="G171" s="1">
        <v>80.652977000000007</v>
      </c>
      <c r="H171" s="1">
        <v>23723.041000000001</v>
      </c>
      <c r="I171" s="1">
        <v>8.7182899000000003</v>
      </c>
      <c r="J171" s="1">
        <v>4.6040694999999996</v>
      </c>
      <c r="K171" s="1">
        <v>4.8782641</v>
      </c>
      <c r="L171" s="1">
        <v>4.2853539999999999</v>
      </c>
      <c r="M171" s="1">
        <v>3.1951896999999998</v>
      </c>
      <c r="N171" s="1">
        <v>0.66760931999999995</v>
      </c>
      <c r="O171" s="1">
        <v>0.16229988000000001</v>
      </c>
      <c r="P171" s="1">
        <v>4.8042224999999998</v>
      </c>
      <c r="Q171" s="1">
        <v>0</v>
      </c>
      <c r="R171" s="1">
        <v>1.1581746E-2</v>
      </c>
      <c r="S171" s="1">
        <v>1.0519278999999999E-2</v>
      </c>
      <c r="T171" s="1">
        <v>9.4431871999999997E-3</v>
      </c>
      <c r="U171" s="1">
        <v>2.1387005000000001E-2</v>
      </c>
      <c r="V171" s="1">
        <v>3.1497769000000002E-2</v>
      </c>
      <c r="W171" s="1">
        <v>0.11011559</v>
      </c>
      <c r="X171" s="1">
        <v>0</v>
      </c>
      <c r="Y171" s="1">
        <v>0</v>
      </c>
      <c r="Z171" s="1">
        <v>0</v>
      </c>
      <c r="AA171" s="1">
        <v>0</v>
      </c>
      <c r="AB171" s="1">
        <v>0</v>
      </c>
      <c r="AC171" s="1">
        <v>0</v>
      </c>
      <c r="AD171" s="1">
        <v>0.1226098</v>
      </c>
      <c r="AE171" s="1">
        <v>444.4434</v>
      </c>
      <c r="AF171" s="1">
        <v>195.49026000000001</v>
      </c>
      <c r="AG171" s="1">
        <v>220.27778000000001</v>
      </c>
      <c r="AH171" s="1">
        <v>2796.9618999999998</v>
      </c>
      <c r="AI171" s="1">
        <v>19.157644999999999</v>
      </c>
    </row>
    <row r="173" spans="1:35">
      <c r="B173" s="26"/>
    </row>
    <row r="174" spans="1:35" outlineLevel="1">
      <c r="A174" t="s">
        <v>297</v>
      </c>
      <c r="B174" t="s">
        <v>298</v>
      </c>
    </row>
    <row r="175" spans="1:35" outlineLevel="1">
      <c r="A175" t="s">
        <v>299</v>
      </c>
      <c r="B175" t="s">
        <v>300</v>
      </c>
    </row>
    <row r="176" spans="1:35" outlineLevel="1">
      <c r="A176" t="s">
        <v>301</v>
      </c>
      <c r="B176" t="s">
        <v>392</v>
      </c>
    </row>
    <row r="177" spans="1:2" outlineLevel="1">
      <c r="A177" t="s">
        <v>303</v>
      </c>
      <c r="B177" t="s">
        <v>393</v>
      </c>
    </row>
    <row r="178" spans="1:2" outlineLevel="1">
      <c r="A178" t="s">
        <v>305</v>
      </c>
      <c r="B178" t="s">
        <v>394</v>
      </c>
    </row>
    <row r="179" spans="1:2" outlineLevel="1">
      <c r="A179" t="s">
        <v>307</v>
      </c>
      <c r="B179" t="s">
        <v>395</v>
      </c>
    </row>
    <row r="180" spans="1:2" outlineLevel="1">
      <c r="A180" t="s">
        <v>309</v>
      </c>
      <c r="B180" t="s">
        <v>396</v>
      </c>
    </row>
    <row r="181" spans="1:2" outlineLevel="1">
      <c r="A181" t="s">
        <v>311</v>
      </c>
      <c r="B181" t="s">
        <v>397</v>
      </c>
    </row>
    <row r="182" spans="1:2" outlineLevel="1">
      <c r="A182" t="s">
        <v>313</v>
      </c>
      <c r="B182" t="s">
        <v>398</v>
      </c>
    </row>
    <row r="183" spans="1:2" outlineLevel="1">
      <c r="A183" t="s">
        <v>315</v>
      </c>
      <c r="B183" t="s">
        <v>399</v>
      </c>
    </row>
    <row r="184" spans="1:2" outlineLevel="1">
      <c r="A184" t="s">
        <v>317</v>
      </c>
      <c r="B184" t="s">
        <v>400</v>
      </c>
    </row>
    <row r="185" spans="1:2" outlineLevel="1">
      <c r="A185" t="s">
        <v>319</v>
      </c>
      <c r="B185" t="s">
        <v>401</v>
      </c>
    </row>
    <row r="186" spans="1:2" outlineLevel="1">
      <c r="A186" t="s">
        <v>339</v>
      </c>
      <c r="B186" t="s">
        <v>402</v>
      </c>
    </row>
    <row r="187" spans="1:2" outlineLevel="1">
      <c r="A187" t="s">
        <v>340</v>
      </c>
      <c r="B187" t="s">
        <v>403</v>
      </c>
    </row>
    <row r="188" spans="1:2" outlineLevel="1">
      <c r="A188" t="s">
        <v>341</v>
      </c>
      <c r="B188" t="s">
        <v>404</v>
      </c>
    </row>
    <row r="189" spans="1:2" outlineLevel="1">
      <c r="A189" t="s">
        <v>342</v>
      </c>
      <c r="B189" t="s">
        <v>405</v>
      </c>
    </row>
    <row r="190" spans="1:2" outlineLevel="1">
      <c r="A190" t="s">
        <v>343</v>
      </c>
      <c r="B190" t="s">
        <v>344</v>
      </c>
    </row>
    <row r="191" spans="1:2" outlineLevel="1">
      <c r="A191" t="s">
        <v>345</v>
      </c>
      <c r="B191" t="s">
        <v>346</v>
      </c>
    </row>
    <row r="192" spans="1:2" outlineLevel="1">
      <c r="A192" t="s">
        <v>347</v>
      </c>
      <c r="B192" t="s">
        <v>348</v>
      </c>
    </row>
    <row r="193" spans="1:2" outlineLevel="1">
      <c r="A193" t="s">
        <v>349</v>
      </c>
      <c r="B193" t="s">
        <v>350</v>
      </c>
    </row>
    <row r="194" spans="1:2" outlineLevel="1">
      <c r="A194" t="s">
        <v>351</v>
      </c>
      <c r="B194" t="s">
        <v>352</v>
      </c>
    </row>
    <row r="195" spans="1:2" outlineLevel="1">
      <c r="A195" t="s">
        <v>353</v>
      </c>
      <c r="B195" t="s">
        <v>354</v>
      </c>
    </row>
    <row r="196" spans="1:2" outlineLevel="1">
      <c r="A196" t="s">
        <v>355</v>
      </c>
      <c r="B196" t="s">
        <v>356</v>
      </c>
    </row>
    <row r="197" spans="1:2" outlineLevel="1">
      <c r="A197" t="s">
        <v>357</v>
      </c>
      <c r="B197" t="s">
        <v>358</v>
      </c>
    </row>
    <row r="198" spans="1:2" outlineLevel="1">
      <c r="A198" t="s">
        <v>359</v>
      </c>
      <c r="B198" t="s">
        <v>406</v>
      </c>
    </row>
    <row r="199" spans="1:2" outlineLevel="1">
      <c r="A199" t="s">
        <v>360</v>
      </c>
      <c r="B199" t="s">
        <v>407</v>
      </c>
    </row>
    <row r="200" spans="1:2" outlineLevel="1">
      <c r="A200" t="s">
        <v>361</v>
      </c>
      <c r="B200" t="s">
        <v>408</v>
      </c>
    </row>
    <row r="201" spans="1:2" outlineLevel="1">
      <c r="A201" t="s">
        <v>362</v>
      </c>
      <c r="B201" t="s">
        <v>409</v>
      </c>
    </row>
    <row r="202" spans="1:2" outlineLevel="1">
      <c r="A202" t="s">
        <v>363</v>
      </c>
      <c r="B202" t="s">
        <v>410</v>
      </c>
    </row>
    <row r="203" spans="1:2" outlineLevel="1">
      <c r="A203" t="s">
        <v>364</v>
      </c>
      <c r="B203" t="s">
        <v>365</v>
      </c>
    </row>
    <row r="204" spans="1:2" outlineLevel="1">
      <c r="A204" t="s">
        <v>366</v>
      </c>
      <c r="B204" t="s">
        <v>411</v>
      </c>
    </row>
    <row r="205" spans="1:2" outlineLevel="1">
      <c r="A205" t="s">
        <v>367</v>
      </c>
      <c r="B205" t="s">
        <v>412</v>
      </c>
    </row>
    <row r="206" spans="1:2" outlineLevel="1">
      <c r="A206" t="s">
        <v>368</v>
      </c>
      <c r="B206" t="s">
        <v>369</v>
      </c>
    </row>
    <row r="207" spans="1:2" outlineLevel="1">
      <c r="A207" t="s">
        <v>370</v>
      </c>
      <c r="B207" t="s">
        <v>413</v>
      </c>
    </row>
    <row r="208" spans="1:2" outlineLevel="1">
      <c r="A208" t="s">
        <v>371</v>
      </c>
      <c r="B208" t="s">
        <v>414</v>
      </c>
    </row>
    <row r="209" spans="1:35" outlineLevel="1">
      <c r="A209" t="s">
        <v>321</v>
      </c>
      <c r="B209" t="s">
        <v>415</v>
      </c>
    </row>
    <row r="210" spans="1:35" outlineLevel="1">
      <c r="A210" t="s">
        <v>323</v>
      </c>
      <c r="B210" t="s">
        <v>324</v>
      </c>
    </row>
    <row r="211" spans="1:35" outlineLevel="1">
      <c r="A211" t="s">
        <v>327</v>
      </c>
      <c r="B211" t="s">
        <v>416</v>
      </c>
    </row>
    <row r="212" spans="1:35" outlineLevel="1">
      <c r="A212" t="s">
        <v>417</v>
      </c>
      <c r="B212" t="s">
        <v>332</v>
      </c>
    </row>
    <row r="213" spans="1:35" outlineLevel="1">
      <c r="A213" t="s">
        <v>329</v>
      </c>
      <c r="B213" t="s">
        <v>330</v>
      </c>
    </row>
    <row r="214" spans="1:35" outlineLevel="1">
      <c r="A214" t="s">
        <v>331</v>
      </c>
      <c r="B214" t="s">
        <v>330</v>
      </c>
    </row>
    <row r="215" spans="1:35" outlineLevel="1">
      <c r="A215" t="s">
        <v>334</v>
      </c>
      <c r="B215" t="s">
        <v>384</v>
      </c>
    </row>
    <row r="216" spans="1:35" outlineLevel="1">
      <c r="A216" t="s">
        <v>336</v>
      </c>
      <c r="B216" t="s">
        <v>337</v>
      </c>
    </row>
    <row r="217" spans="1:35" outlineLevel="1"/>
    <row r="218" spans="1:35">
      <c r="A218" t="s">
        <v>384</v>
      </c>
      <c r="B218" t="s">
        <v>338</v>
      </c>
      <c r="C218" t="s">
        <v>133</v>
      </c>
      <c r="D218" t="s">
        <v>134</v>
      </c>
      <c r="E218" t="s">
        <v>135</v>
      </c>
      <c r="F218" t="s">
        <v>167</v>
      </c>
      <c r="G218" t="s">
        <v>136</v>
      </c>
      <c r="H218" t="s">
        <v>137</v>
      </c>
      <c r="I218" t="s">
        <v>372</v>
      </c>
      <c r="J218" t="s">
        <v>418</v>
      </c>
      <c r="K218" t="s">
        <v>81</v>
      </c>
      <c r="L218" t="s">
        <v>3</v>
      </c>
      <c r="M218" t="s">
        <v>4</v>
      </c>
      <c r="N218" t="s">
        <v>373</v>
      </c>
      <c r="O218" t="s">
        <v>374</v>
      </c>
      <c r="P218" t="s">
        <v>82</v>
      </c>
      <c r="Q218" t="s">
        <v>5</v>
      </c>
      <c r="R218" t="s">
        <v>6</v>
      </c>
      <c r="S218" t="s">
        <v>143</v>
      </c>
      <c r="T218" t="s">
        <v>168</v>
      </c>
      <c r="U218" t="s">
        <v>169</v>
      </c>
      <c r="V218" t="s">
        <v>220</v>
      </c>
      <c r="W218" t="s">
        <v>222</v>
      </c>
      <c r="X218" t="s">
        <v>221</v>
      </c>
      <c r="Y218" t="s">
        <v>419</v>
      </c>
      <c r="Z218" t="s">
        <v>420</v>
      </c>
      <c r="AA218" t="s">
        <v>421</v>
      </c>
      <c r="AB218" t="s">
        <v>422</v>
      </c>
      <c r="AC218" t="s">
        <v>423</v>
      </c>
      <c r="AD218" t="s">
        <v>7</v>
      </c>
      <c r="AE218" t="s">
        <v>424</v>
      </c>
      <c r="AF218" t="s">
        <v>150</v>
      </c>
      <c r="AG218" t="s">
        <v>140</v>
      </c>
      <c r="AH218" t="s">
        <v>141</v>
      </c>
      <c r="AI218" t="s">
        <v>142</v>
      </c>
    </row>
    <row r="219" spans="1:35" s="1" customFormat="1">
      <c r="A219" s="1" t="s">
        <v>39</v>
      </c>
      <c r="B219" s="1" t="s">
        <v>2</v>
      </c>
      <c r="C219" s="13">
        <v>22014.554</v>
      </c>
      <c r="D219" s="13">
        <v>16200.785</v>
      </c>
      <c r="E219" s="13">
        <v>9682.1596000000009</v>
      </c>
      <c r="F219" s="13">
        <v>133344.48000000001</v>
      </c>
      <c r="G219" s="13">
        <v>6187.3365999999996</v>
      </c>
      <c r="H219" s="13">
        <v>10723471</v>
      </c>
      <c r="I219" s="13">
        <v>310.50968999999998</v>
      </c>
      <c r="J219" s="13">
        <v>248.6018</v>
      </c>
      <c r="K219" s="13">
        <v>501.39366999999999</v>
      </c>
      <c r="L219" s="13">
        <v>195.18025</v>
      </c>
      <c r="M219" s="13">
        <v>293.32083</v>
      </c>
      <c r="N219" s="13">
        <v>66.493983</v>
      </c>
      <c r="O219" s="13">
        <v>18.180146000000001</v>
      </c>
      <c r="P219" s="13">
        <v>475.93329</v>
      </c>
      <c r="Q219" s="13">
        <v>859.92828999999995</v>
      </c>
      <c r="R219" s="13">
        <v>1.329755</v>
      </c>
      <c r="S219" s="13">
        <v>96.394575000000003</v>
      </c>
      <c r="T219" s="13">
        <v>95.853528999999995</v>
      </c>
      <c r="U219" s="13">
        <v>96.652946</v>
      </c>
      <c r="V219" s="13">
        <v>3.9217335000000002</v>
      </c>
      <c r="W219" s="13">
        <v>9.5963027000000007</v>
      </c>
      <c r="X219" s="13">
        <v>46.101135999999997</v>
      </c>
      <c r="Y219" s="13">
        <v>39000</v>
      </c>
      <c r="Z219" s="13">
        <v>140000</v>
      </c>
      <c r="AA219" s="13">
        <v>22000000</v>
      </c>
      <c r="AB219" s="13">
        <v>460000000</v>
      </c>
      <c r="AC219" s="13">
        <v>5600000</v>
      </c>
      <c r="AD219" s="13">
        <v>5.3876822000000004</v>
      </c>
      <c r="AE219" s="13">
        <v>100507.6</v>
      </c>
      <c r="AF219" s="13">
        <v>14928.615</v>
      </c>
      <c r="AG219" s="13">
        <v>94408.019</v>
      </c>
      <c r="AH219" s="13">
        <v>27122060</v>
      </c>
      <c r="AI219" s="13">
        <v>11990537</v>
      </c>
    </row>
    <row r="220" spans="1:35">
      <c r="A220" t="s">
        <v>425</v>
      </c>
      <c r="B220" t="s">
        <v>2</v>
      </c>
      <c r="C220" s="157">
        <v>26.851012000000001</v>
      </c>
      <c r="D220" s="157">
        <v>24.403863999999999</v>
      </c>
      <c r="E220" s="157">
        <v>8.6669172000000003</v>
      </c>
      <c r="F220" s="157">
        <v>206.54062999999999</v>
      </c>
      <c r="G220" s="157">
        <v>19.165707000000001</v>
      </c>
      <c r="H220" s="157">
        <v>4361.7718999999997</v>
      </c>
      <c r="I220" s="157">
        <v>0.59390052999999998</v>
      </c>
      <c r="J220" s="157">
        <v>1.7708743</v>
      </c>
      <c r="K220" s="157">
        <v>1.7101681</v>
      </c>
      <c r="L220" s="157">
        <v>7.8514760000000003E-2</v>
      </c>
      <c r="M220" s="157">
        <v>1.1168224</v>
      </c>
      <c r="N220" s="157">
        <v>0.11991110000000001</v>
      </c>
      <c r="O220" s="157">
        <v>5.1611075999999999E-2</v>
      </c>
      <c r="P220" s="157">
        <v>1.3176806000000001</v>
      </c>
      <c r="Q220" s="157">
        <v>0</v>
      </c>
      <c r="R220" s="157">
        <v>1.2029132E-3</v>
      </c>
      <c r="S220" s="157">
        <v>2.7273669E-3</v>
      </c>
      <c r="T220" s="157">
        <v>2.0798608000000001E-3</v>
      </c>
      <c r="U220" s="157">
        <v>3.5755359999999998E-3</v>
      </c>
      <c r="V220" s="157">
        <v>9.6226056000000004E-3</v>
      </c>
      <c r="W220" s="157">
        <v>2.4223114E-2</v>
      </c>
      <c r="X220" s="157">
        <v>0</v>
      </c>
      <c r="Y220" s="157">
        <v>0</v>
      </c>
      <c r="Z220" s="157">
        <v>0</v>
      </c>
      <c r="AA220" s="157">
        <v>0</v>
      </c>
      <c r="AB220" s="157">
        <v>0</v>
      </c>
      <c r="AC220" s="157">
        <v>0</v>
      </c>
      <c r="AD220" s="157">
        <v>9.8460544999999997E-3</v>
      </c>
      <c r="AE220" s="157">
        <v>144.06057000000001</v>
      </c>
      <c r="AF220" s="157">
        <v>75.244027000000003</v>
      </c>
      <c r="AG220" s="157">
        <v>66.258945999999995</v>
      </c>
      <c r="AH220" s="157">
        <v>261.47561999999999</v>
      </c>
      <c r="AI220" s="157">
        <v>5.7319513999999998</v>
      </c>
    </row>
    <row r="221" spans="1:35">
      <c r="A221" t="s">
        <v>51</v>
      </c>
      <c r="B221" t="s">
        <v>2</v>
      </c>
      <c r="C221" s="157">
        <v>5480.2834999999995</v>
      </c>
      <c r="D221" s="157">
        <v>4103.1944999999996</v>
      </c>
      <c r="E221" s="157">
        <v>4367.8692000000001</v>
      </c>
      <c r="F221" s="157">
        <v>19771.994999999999</v>
      </c>
      <c r="G221" s="157">
        <v>289.44558000000001</v>
      </c>
      <c r="H221" s="157">
        <v>147203.9</v>
      </c>
      <c r="I221" s="157">
        <v>30.766793</v>
      </c>
      <c r="J221" s="157">
        <v>16.820218000000001</v>
      </c>
      <c r="K221" s="157">
        <v>17.920183000000002</v>
      </c>
      <c r="L221" s="157">
        <v>15.637549999999999</v>
      </c>
      <c r="M221" s="157">
        <v>11.400285999999999</v>
      </c>
      <c r="N221" s="157">
        <v>2.4110111000000001</v>
      </c>
      <c r="O221" s="157">
        <v>0.58355358000000002</v>
      </c>
      <c r="P221" s="157">
        <v>17.006398000000001</v>
      </c>
      <c r="Q221" s="157">
        <v>0</v>
      </c>
      <c r="R221" s="157">
        <v>4.2111415999999999E-2</v>
      </c>
      <c r="S221" s="157">
        <v>3.7087888999999999E-2</v>
      </c>
      <c r="T221" s="157">
        <v>3.5506617999999997E-2</v>
      </c>
      <c r="U221" s="157">
        <v>7.9071536999999997E-2</v>
      </c>
      <c r="V221" s="157">
        <v>0.14715838000000001</v>
      </c>
      <c r="W221" s="157">
        <v>0.41065895000000002</v>
      </c>
      <c r="X221" s="157">
        <v>0</v>
      </c>
      <c r="Y221" s="157">
        <v>0</v>
      </c>
      <c r="Z221" s="157">
        <v>0</v>
      </c>
      <c r="AA221" s="157">
        <v>0</v>
      </c>
      <c r="AB221" s="157">
        <v>0</v>
      </c>
      <c r="AC221" s="157">
        <v>0</v>
      </c>
      <c r="AD221" s="157">
        <v>0.43263328000000001</v>
      </c>
      <c r="AE221" s="157">
        <v>1509.5585000000001</v>
      </c>
      <c r="AF221" s="157">
        <v>697.15418</v>
      </c>
      <c r="AG221" s="157">
        <v>770.05772999999999</v>
      </c>
      <c r="AH221" s="157">
        <v>10247.364</v>
      </c>
      <c r="AI221" s="157">
        <v>68.948445000000007</v>
      </c>
    </row>
    <row r="222" spans="1:35">
      <c r="A222" t="s">
        <v>426</v>
      </c>
      <c r="B222" t="s">
        <v>2</v>
      </c>
      <c r="C222" s="157">
        <v>610.42701999999997</v>
      </c>
      <c r="D222" s="157">
        <v>375.54273000000001</v>
      </c>
      <c r="E222" s="157">
        <v>150.28594000000001</v>
      </c>
      <c r="F222" s="157">
        <v>1801.9619</v>
      </c>
      <c r="G222" s="157">
        <v>145.00058000000001</v>
      </c>
      <c r="H222" s="157">
        <v>35462.186999999998</v>
      </c>
      <c r="I222" s="157">
        <v>1.5792846</v>
      </c>
      <c r="J222" s="157">
        <v>2.3846023999999999</v>
      </c>
      <c r="K222" s="157">
        <v>3.2103842999999999</v>
      </c>
      <c r="L222" s="157">
        <v>3.5330441000000001</v>
      </c>
      <c r="M222" s="157">
        <v>9.0054704999999995</v>
      </c>
      <c r="N222" s="157">
        <v>2.5241166000000002</v>
      </c>
      <c r="O222" s="157">
        <v>8.4353475999999997E-2</v>
      </c>
      <c r="P222" s="157">
        <v>9.8557103999999995</v>
      </c>
      <c r="Q222" s="157">
        <v>0</v>
      </c>
      <c r="R222" s="157">
        <v>9.8535342999999997E-2</v>
      </c>
      <c r="S222" s="157">
        <v>0.22599016999999999</v>
      </c>
      <c r="T222" s="157">
        <v>8.3734034999999998E-2</v>
      </c>
      <c r="U222" s="157">
        <v>0.11592049</v>
      </c>
      <c r="V222" s="157">
        <v>0.15839128999999999</v>
      </c>
      <c r="W222" s="157">
        <v>0.64432034999999999</v>
      </c>
      <c r="X222" s="157">
        <v>0</v>
      </c>
      <c r="Y222" s="157">
        <v>0</v>
      </c>
      <c r="Z222" s="157">
        <v>0</v>
      </c>
      <c r="AA222" s="157">
        <v>0</v>
      </c>
      <c r="AB222" s="157">
        <v>0</v>
      </c>
      <c r="AC222" s="157">
        <v>0</v>
      </c>
      <c r="AD222" s="157">
        <v>0.12386944</v>
      </c>
      <c r="AE222" s="157">
        <v>5456.0585000000001</v>
      </c>
      <c r="AF222" s="157">
        <v>3494.6770999999999</v>
      </c>
      <c r="AG222" s="157">
        <v>1431.6316999999999</v>
      </c>
      <c r="AH222" s="157">
        <v>4429.3283000000001</v>
      </c>
      <c r="AI222" s="157">
        <v>48.245818</v>
      </c>
    </row>
    <row r="223" spans="1:35">
      <c r="A223" t="s">
        <v>427</v>
      </c>
      <c r="B223" t="s">
        <v>2</v>
      </c>
      <c r="C223" s="157">
        <v>8104.7891</v>
      </c>
      <c r="D223" s="157">
        <v>4175.5973999999997</v>
      </c>
      <c r="E223" s="157">
        <v>1775.8456000000001</v>
      </c>
      <c r="F223" s="157">
        <v>24572.955000000002</v>
      </c>
      <c r="G223" s="157">
        <v>24.616637000000001</v>
      </c>
      <c r="H223" s="157">
        <v>2286406.6</v>
      </c>
      <c r="I223" s="157">
        <v>0.30319655000000001</v>
      </c>
      <c r="J223" s="157">
        <v>0.34258937</v>
      </c>
      <c r="K223" s="157">
        <v>7.6013869999999999</v>
      </c>
      <c r="L223" s="157">
        <v>0.26079640999999998</v>
      </c>
      <c r="M223" s="157">
        <v>0.97430039999999996</v>
      </c>
      <c r="N223" s="157">
        <v>0.53943657</v>
      </c>
      <c r="O223" s="157">
        <v>2.3909413000000001E-2</v>
      </c>
      <c r="P223" s="157">
        <v>4.1902412</v>
      </c>
      <c r="Q223" s="157">
        <v>0</v>
      </c>
      <c r="R223" s="157">
        <v>6.6227418999999996E-3</v>
      </c>
      <c r="S223" s="157">
        <v>3.5838535999999997E-2</v>
      </c>
      <c r="T223" s="157">
        <v>5.7851756999999997E-2</v>
      </c>
      <c r="U223" s="157">
        <v>7.2158413000000005E-2</v>
      </c>
      <c r="V223" s="157">
        <v>0.10881583</v>
      </c>
      <c r="W223" s="157">
        <v>7.0052724999999996E-2</v>
      </c>
      <c r="X223" s="157">
        <v>0</v>
      </c>
      <c r="Y223" s="157">
        <v>0</v>
      </c>
      <c r="Z223" s="157">
        <v>0</v>
      </c>
      <c r="AA223" s="157">
        <v>0</v>
      </c>
      <c r="AB223" s="157">
        <v>0</v>
      </c>
      <c r="AC223" s="157">
        <v>0</v>
      </c>
      <c r="AD223" s="157">
        <v>9.1017817000000004E-3</v>
      </c>
      <c r="AE223" s="157">
        <v>939.55862000000002</v>
      </c>
      <c r="AF223" s="157">
        <v>403.57785000000001</v>
      </c>
      <c r="AG223" s="157">
        <v>367.8</v>
      </c>
      <c r="AH223" s="157">
        <v>4561.8063000000002</v>
      </c>
      <c r="AI223" s="157">
        <v>11.196918</v>
      </c>
    </row>
    <row r="224" spans="1:35">
      <c r="A224" t="s">
        <v>428</v>
      </c>
      <c r="B224" t="s">
        <v>2</v>
      </c>
      <c r="C224" s="157">
        <v>2701.3587000000002</v>
      </c>
      <c r="D224" s="157">
        <v>2586.1797999999999</v>
      </c>
      <c r="E224" s="157">
        <v>1440.8331000000001</v>
      </c>
      <c r="F224" s="157">
        <v>34972.305</v>
      </c>
      <c r="G224" s="157">
        <v>2227.4173999999998</v>
      </c>
      <c r="H224" s="157">
        <v>1438917.6</v>
      </c>
      <c r="I224" s="157">
        <v>45.516046000000003</v>
      </c>
      <c r="J224" s="157">
        <v>160.11062999999999</v>
      </c>
      <c r="K224" s="157">
        <v>169.51330999999999</v>
      </c>
      <c r="L224" s="157">
        <v>131.8058</v>
      </c>
      <c r="M224" s="157">
        <v>96.210121000000001</v>
      </c>
      <c r="N224" s="157">
        <v>18.44707</v>
      </c>
      <c r="O224" s="157">
        <v>5.4438773999999999</v>
      </c>
      <c r="P224" s="157">
        <v>142.84676999999999</v>
      </c>
      <c r="Q224" s="157">
        <v>859.88400000000001</v>
      </c>
      <c r="R224" s="157">
        <v>0.79312221999999999</v>
      </c>
      <c r="S224" s="157">
        <v>1.7393502999999999</v>
      </c>
      <c r="T224" s="157">
        <v>1.5017739999999999</v>
      </c>
      <c r="U224" s="157">
        <v>1.8324943</v>
      </c>
      <c r="V224" s="157">
        <v>1.4641534</v>
      </c>
      <c r="W224" s="157">
        <v>2.9389840999999999</v>
      </c>
      <c r="X224" s="157">
        <v>1.5990308</v>
      </c>
      <c r="Y224" s="157">
        <v>0</v>
      </c>
      <c r="Z224" s="157">
        <v>0</v>
      </c>
      <c r="AA224" s="157">
        <v>0</v>
      </c>
      <c r="AB224" s="157">
        <v>0</v>
      </c>
      <c r="AC224" s="157">
        <v>0</v>
      </c>
      <c r="AD224" s="157">
        <v>1.0622978000000001</v>
      </c>
      <c r="AE224" s="157">
        <v>10248.873</v>
      </c>
      <c r="AF224" s="157">
        <v>3769.9128999999998</v>
      </c>
      <c r="AG224" s="157">
        <v>15794.121999999999</v>
      </c>
      <c r="AH224" s="157">
        <v>86449.510999999999</v>
      </c>
      <c r="AI224" s="157">
        <v>592.84123</v>
      </c>
    </row>
    <row r="225" spans="1:35">
      <c r="A225" t="s">
        <v>429</v>
      </c>
      <c r="B225" t="s">
        <v>2</v>
      </c>
      <c r="C225" s="157">
        <v>1.1444726999999999</v>
      </c>
      <c r="D225" s="157">
        <v>1.1466494</v>
      </c>
      <c r="E225" s="157">
        <v>0.88314185000000001</v>
      </c>
      <c r="F225" s="157">
        <v>20.743434000000001</v>
      </c>
      <c r="G225" s="157">
        <v>1.1202388000000001</v>
      </c>
      <c r="H225" s="157">
        <v>1873.9893</v>
      </c>
      <c r="I225" s="157">
        <v>0.35682536999999998</v>
      </c>
      <c r="J225" s="157">
        <v>4.4469605000000002E-2</v>
      </c>
      <c r="K225" s="157">
        <v>4.8259917999999999E-2</v>
      </c>
      <c r="L225" s="157">
        <v>0.18609738000000001</v>
      </c>
      <c r="M225" s="157">
        <v>3.5160195999999998E-2</v>
      </c>
      <c r="N225" s="157">
        <v>1.0415285999999999E-2</v>
      </c>
      <c r="O225" s="157">
        <v>1.6174352E-3</v>
      </c>
      <c r="P225" s="157">
        <v>7.7622087000000006E-2</v>
      </c>
      <c r="Q225" s="157">
        <v>0</v>
      </c>
      <c r="R225" s="157">
        <v>4.1654144000000001E-4</v>
      </c>
      <c r="S225" s="157">
        <v>1.6385600000000001E-4</v>
      </c>
      <c r="T225" s="157">
        <v>1.8758935000000001E-4</v>
      </c>
      <c r="U225" s="157">
        <v>5.3787145000000003E-4</v>
      </c>
      <c r="V225" s="157">
        <v>5.7587055E-4</v>
      </c>
      <c r="W225" s="157">
        <v>1.8754677E-3</v>
      </c>
      <c r="X225" s="157">
        <v>0</v>
      </c>
      <c r="Y225" s="157">
        <v>0</v>
      </c>
      <c r="Z225" s="157">
        <v>0</v>
      </c>
      <c r="AA225" s="157">
        <v>0</v>
      </c>
      <c r="AB225" s="157">
        <v>0</v>
      </c>
      <c r="AC225" s="157">
        <v>0</v>
      </c>
      <c r="AD225" s="157">
        <v>4.8119692999999998E-3</v>
      </c>
      <c r="AE225" s="157">
        <v>4.2299142999999999</v>
      </c>
      <c r="AF225" s="157">
        <v>1.9404777</v>
      </c>
      <c r="AG225" s="157">
        <v>2.9064542000000002</v>
      </c>
      <c r="AH225" s="157">
        <v>17.391209</v>
      </c>
      <c r="AI225" s="157">
        <v>0.26910849999999997</v>
      </c>
    </row>
    <row r="226" spans="1:35">
      <c r="A226" t="s">
        <v>430</v>
      </c>
      <c r="B226" t="s">
        <v>2</v>
      </c>
      <c r="C226" s="157">
        <v>3204.8220999999999</v>
      </c>
      <c r="D226" s="157">
        <v>2972.424</v>
      </c>
      <c r="E226" s="157">
        <v>848.57583</v>
      </c>
      <c r="F226" s="157">
        <v>19584.274000000001</v>
      </c>
      <c r="G226" s="157">
        <v>1494.8155999999999</v>
      </c>
      <c r="H226" s="157">
        <v>1299420.1000000001</v>
      </c>
      <c r="I226" s="157">
        <v>19.888646000000001</v>
      </c>
      <c r="J226" s="157">
        <v>27.111083000000001</v>
      </c>
      <c r="K226" s="157">
        <v>231.86792</v>
      </c>
      <c r="L226" s="157">
        <v>20.483494</v>
      </c>
      <c r="M226" s="157">
        <v>86.703142999999997</v>
      </c>
      <c r="N226" s="157">
        <v>12.662756</v>
      </c>
      <c r="O226" s="157">
        <v>9.9271916000000004</v>
      </c>
      <c r="P226" s="157">
        <v>141.67366000000001</v>
      </c>
      <c r="Q226" s="157">
        <v>4.4288399999999999E-2</v>
      </c>
      <c r="R226" s="157">
        <v>0.11956124</v>
      </c>
      <c r="S226" s="157">
        <v>72.758933999999996</v>
      </c>
      <c r="T226" s="157">
        <v>72.705288999999993</v>
      </c>
      <c r="U226" s="157">
        <v>72.865933999999996</v>
      </c>
      <c r="V226" s="157">
        <v>0.58531451999999995</v>
      </c>
      <c r="W226" s="157">
        <v>2.0685625000000001</v>
      </c>
      <c r="X226" s="157">
        <v>40.608133000000002</v>
      </c>
      <c r="Y226" s="157">
        <v>39000</v>
      </c>
      <c r="Z226" s="157">
        <v>140000</v>
      </c>
      <c r="AA226" s="157">
        <v>0</v>
      </c>
      <c r="AB226" s="157">
        <v>0</v>
      </c>
      <c r="AC226" s="157">
        <v>0</v>
      </c>
      <c r="AD226" s="157">
        <v>0.44611537000000001</v>
      </c>
      <c r="AE226" s="157">
        <v>9671.3655999999992</v>
      </c>
      <c r="AF226" s="157">
        <v>3767.5987</v>
      </c>
      <c r="AG226" s="157">
        <v>4356.9387999999999</v>
      </c>
      <c r="AH226" s="157">
        <v>42328.663</v>
      </c>
      <c r="AI226" s="157">
        <v>658.98932000000002</v>
      </c>
    </row>
    <row r="227" spans="1:35">
      <c r="A227" t="s">
        <v>431</v>
      </c>
      <c r="B227" t="s">
        <v>2</v>
      </c>
      <c r="C227" s="157">
        <v>256.61815999999999</v>
      </c>
      <c r="D227" s="157">
        <v>291.13499999999999</v>
      </c>
      <c r="E227" s="157">
        <v>78.653505999999993</v>
      </c>
      <c r="F227" s="157">
        <v>2116.2237</v>
      </c>
      <c r="G227" s="157">
        <v>125.30632</v>
      </c>
      <c r="H227" s="157">
        <v>36240.595999999998</v>
      </c>
      <c r="I227" s="157">
        <v>1.9662474000000001</v>
      </c>
      <c r="J227" s="157">
        <v>1.6263472000000001</v>
      </c>
      <c r="K227" s="157">
        <v>5.8402441999999999</v>
      </c>
      <c r="L227" s="157">
        <v>4.4574217000000003</v>
      </c>
      <c r="M227" s="157">
        <v>4.8339211000000004</v>
      </c>
      <c r="N227" s="157">
        <v>2.0852843999999999</v>
      </c>
      <c r="O227" s="157">
        <v>0.42237992000000002</v>
      </c>
      <c r="P227" s="157">
        <v>18.103563999999999</v>
      </c>
      <c r="Q227" s="157">
        <v>0</v>
      </c>
      <c r="R227" s="157">
        <v>6.2296691000000001E-2</v>
      </c>
      <c r="S227" s="157">
        <v>11.833105</v>
      </c>
      <c r="T227" s="157">
        <v>11.770488</v>
      </c>
      <c r="U227" s="157">
        <v>11.802047999999999</v>
      </c>
      <c r="V227" s="157">
        <v>0.2386935</v>
      </c>
      <c r="W227" s="157">
        <v>0.62978847999999998</v>
      </c>
      <c r="X227" s="157">
        <v>0.36806288999999998</v>
      </c>
      <c r="Y227" s="157">
        <v>0</v>
      </c>
      <c r="Z227" s="157">
        <v>0</v>
      </c>
      <c r="AA227" s="157">
        <v>0</v>
      </c>
      <c r="AB227" s="157">
        <v>0</v>
      </c>
      <c r="AC227" s="157">
        <v>0</v>
      </c>
      <c r="AD227" s="157">
        <v>0.21559322</v>
      </c>
      <c r="AE227" s="157">
        <v>8936.7692999999999</v>
      </c>
      <c r="AF227" s="157">
        <v>157.68403000000001</v>
      </c>
      <c r="AG227" s="157">
        <v>2657.5373</v>
      </c>
      <c r="AH227" s="157">
        <v>54026.163999999997</v>
      </c>
      <c r="AI227" s="157">
        <v>72.334969000000001</v>
      </c>
    </row>
    <row r="228" spans="1:35">
      <c r="A228" t="s">
        <v>432</v>
      </c>
      <c r="B228" t="s">
        <v>2</v>
      </c>
      <c r="C228" s="157">
        <v>325.91322000000002</v>
      </c>
      <c r="D228" s="157">
        <v>392.79685999999998</v>
      </c>
      <c r="E228" s="157">
        <v>134.95197999999999</v>
      </c>
      <c r="F228" s="157">
        <v>2711.7046</v>
      </c>
      <c r="G228" s="157">
        <v>154.86115000000001</v>
      </c>
      <c r="H228" s="157">
        <v>76920.297000000006</v>
      </c>
      <c r="I228" s="157">
        <v>9.0397014999999996</v>
      </c>
      <c r="J228" s="157">
        <v>2.0291036999999998</v>
      </c>
      <c r="K228" s="157">
        <v>4.7775929000000001</v>
      </c>
      <c r="L228" s="157">
        <v>2.5400906000000001</v>
      </c>
      <c r="M228" s="157">
        <v>6.0934179999999998</v>
      </c>
      <c r="N228" s="157">
        <v>2.0812564999999998</v>
      </c>
      <c r="O228" s="157">
        <v>0.18519652</v>
      </c>
      <c r="P228" s="157">
        <v>22.260560999999999</v>
      </c>
      <c r="Q228" s="157">
        <v>0</v>
      </c>
      <c r="R228" s="157">
        <v>6.1437866000000001E-2</v>
      </c>
      <c r="S228" s="157">
        <v>9.5484009000000007</v>
      </c>
      <c r="T228" s="157">
        <v>9.5416302000000002</v>
      </c>
      <c r="U228" s="157">
        <v>9.6266035999999993</v>
      </c>
      <c r="V228" s="157">
        <v>0.29733998</v>
      </c>
      <c r="W228" s="157">
        <v>0.57997611999999998</v>
      </c>
      <c r="X228" s="157">
        <v>3.5259092000000001</v>
      </c>
      <c r="Y228" s="157">
        <v>0</v>
      </c>
      <c r="Z228" s="157">
        <v>0</v>
      </c>
      <c r="AA228" s="157">
        <v>22000000</v>
      </c>
      <c r="AB228" s="157">
        <v>460000000</v>
      </c>
      <c r="AC228" s="157">
        <v>5600000</v>
      </c>
      <c r="AD228" s="157">
        <v>0.23146233999999999</v>
      </c>
      <c r="AE228" s="157">
        <v>880.60985000000005</v>
      </c>
      <c r="AF228" s="157">
        <v>182.65019000000001</v>
      </c>
      <c r="AG228" s="157">
        <v>694.83708999999999</v>
      </c>
      <c r="AH228" s="157">
        <v>14686.796</v>
      </c>
      <c r="AI228" s="157">
        <v>111.57474999999999</v>
      </c>
    </row>
    <row r="229" spans="1:35">
      <c r="A229" t="s">
        <v>433</v>
      </c>
      <c r="B229" t="s">
        <v>2</v>
      </c>
      <c r="C229" s="157">
        <v>343.12268</v>
      </c>
      <c r="D229" s="157">
        <v>335.16764000000001</v>
      </c>
      <c r="E229" s="157">
        <v>72.967417999999995</v>
      </c>
      <c r="F229" s="157">
        <v>7017.8849</v>
      </c>
      <c r="G229" s="157">
        <v>120.19605</v>
      </c>
      <c r="H229" s="157">
        <v>3426864.3</v>
      </c>
      <c r="I229" s="157">
        <v>0.84526405999999998</v>
      </c>
      <c r="J229" s="157">
        <v>10.659362</v>
      </c>
      <c r="K229" s="157">
        <v>21.646218000000001</v>
      </c>
      <c r="L229" s="157">
        <v>1.3361575999999999</v>
      </c>
      <c r="M229" s="157">
        <v>8.0024739999999994</v>
      </c>
      <c r="N229" s="157">
        <v>0.84480518000000004</v>
      </c>
      <c r="O229" s="157">
        <v>0.27441955000000001</v>
      </c>
      <c r="P229" s="157">
        <v>9.9195142000000001</v>
      </c>
      <c r="Q229" s="157">
        <v>0</v>
      </c>
      <c r="R229" s="157">
        <v>7.9189406000000004E-3</v>
      </c>
      <c r="S229" s="157">
        <v>1.5639294000000001E-2</v>
      </c>
      <c r="T229" s="157">
        <v>2.1496033000000001E-2</v>
      </c>
      <c r="U229" s="157">
        <v>3.5879183000000002E-2</v>
      </c>
      <c r="V229" s="157">
        <v>9.2592067E-2</v>
      </c>
      <c r="W229" s="157">
        <v>0.43945997999999997</v>
      </c>
      <c r="X229" s="157">
        <v>0</v>
      </c>
      <c r="Y229" s="157">
        <v>0</v>
      </c>
      <c r="Z229" s="157">
        <v>0</v>
      </c>
      <c r="AA229" s="157">
        <v>0</v>
      </c>
      <c r="AB229" s="157">
        <v>0</v>
      </c>
      <c r="AC229" s="157">
        <v>0</v>
      </c>
      <c r="AD229" s="157">
        <v>2.3512492999999999E-2</v>
      </c>
      <c r="AE229" s="157">
        <v>1502.8108</v>
      </c>
      <c r="AF229" s="157">
        <v>494.51459999999997</v>
      </c>
      <c r="AG229" s="157">
        <v>918.43195000000003</v>
      </c>
      <c r="AH229" s="157">
        <v>2161.6768999999999</v>
      </c>
      <c r="AI229" s="157">
        <v>42.805452000000002</v>
      </c>
    </row>
    <row r="230" spans="1:35">
      <c r="A230" t="s">
        <v>434</v>
      </c>
      <c r="B230" t="s">
        <v>2</v>
      </c>
      <c r="C230" s="157">
        <v>103.13652999999999</v>
      </c>
      <c r="D230" s="157">
        <v>93.406580000000005</v>
      </c>
      <c r="E230" s="157">
        <v>19.247886999999999</v>
      </c>
      <c r="F230" s="157">
        <v>451.19083000000001</v>
      </c>
      <c r="G230" s="157">
        <v>60.930846000000003</v>
      </c>
      <c r="H230" s="157">
        <v>21096.530999999999</v>
      </c>
      <c r="I230" s="157">
        <v>0.2108284</v>
      </c>
      <c r="J230" s="157">
        <v>7.0368037000000001</v>
      </c>
      <c r="K230" s="157">
        <v>7.4399468999999998</v>
      </c>
      <c r="L230" s="157">
        <v>0.19384784999999999</v>
      </c>
      <c r="M230" s="157">
        <v>4.3255486999999997</v>
      </c>
      <c r="N230" s="157">
        <v>0.31755948000000001</v>
      </c>
      <c r="O230" s="157">
        <v>0.21544522999999999</v>
      </c>
      <c r="P230" s="157">
        <v>4.6667831</v>
      </c>
      <c r="Q230" s="157">
        <v>0</v>
      </c>
      <c r="R230" s="157">
        <v>2.4836760999999998E-3</v>
      </c>
      <c r="S230" s="157">
        <v>6.4342486000000003E-3</v>
      </c>
      <c r="T230" s="157">
        <v>5.7831832E-3</v>
      </c>
      <c r="U230" s="157">
        <v>1.0754067000000001E-2</v>
      </c>
      <c r="V230" s="157">
        <v>3.1750291999999999E-2</v>
      </c>
      <c r="W230" s="157">
        <v>0.12696755000000001</v>
      </c>
      <c r="X230" s="157">
        <v>0</v>
      </c>
      <c r="Y230" s="157">
        <v>0</v>
      </c>
      <c r="Z230" s="157">
        <v>0</v>
      </c>
      <c r="AA230" s="157">
        <v>0</v>
      </c>
      <c r="AB230" s="157">
        <v>0</v>
      </c>
      <c r="AC230" s="157">
        <v>0</v>
      </c>
      <c r="AD230" s="157">
        <v>6.8874017000000003E-3</v>
      </c>
      <c r="AE230" s="157">
        <v>520.82106999999996</v>
      </c>
      <c r="AF230" s="157">
        <v>279.15615000000003</v>
      </c>
      <c r="AG230" s="157">
        <v>200.76365999999999</v>
      </c>
      <c r="AH230" s="157">
        <v>516.80028000000004</v>
      </c>
      <c r="AI230" s="157">
        <v>21.643922</v>
      </c>
    </row>
    <row r="231" spans="1:35">
      <c r="A231" t="s">
        <v>435</v>
      </c>
      <c r="B231" t="s">
        <v>2</v>
      </c>
      <c r="C231" s="157">
        <v>413.20073000000002</v>
      </c>
      <c r="D231" s="157">
        <v>406.51197000000002</v>
      </c>
      <c r="E231" s="157">
        <v>140.38207</v>
      </c>
      <c r="F231" s="157">
        <v>3177.9892</v>
      </c>
      <c r="G231" s="157">
        <v>434.00112999999999</v>
      </c>
      <c r="H231" s="157">
        <v>275477.3</v>
      </c>
      <c r="I231" s="157">
        <v>4.0951370000000002</v>
      </c>
      <c r="J231" s="157">
        <v>14.719685</v>
      </c>
      <c r="K231" s="157">
        <v>19.852618</v>
      </c>
      <c r="L231" s="157">
        <v>12.179394</v>
      </c>
      <c r="M231" s="157">
        <v>19.004802000000002</v>
      </c>
      <c r="N231" s="157">
        <v>2.8154819</v>
      </c>
      <c r="O231" s="157">
        <v>0.50327752999999997</v>
      </c>
      <c r="P231" s="157">
        <v>20.647258999999998</v>
      </c>
      <c r="Q231" s="157">
        <v>0</v>
      </c>
      <c r="R231" s="157">
        <v>0.10338984</v>
      </c>
      <c r="S231" s="157">
        <v>0.10921288</v>
      </c>
      <c r="T231" s="157">
        <v>8.5172044000000002E-2</v>
      </c>
      <c r="U231" s="157">
        <v>0.13538571999999999</v>
      </c>
      <c r="V231" s="157">
        <v>0.61471385999999995</v>
      </c>
      <c r="W231" s="157">
        <v>0.47757581999999998</v>
      </c>
      <c r="X231" s="157">
        <v>0</v>
      </c>
      <c r="Y231" s="157">
        <v>0</v>
      </c>
      <c r="Z231" s="157">
        <v>0</v>
      </c>
      <c r="AA231" s="157">
        <v>0</v>
      </c>
      <c r="AB231" s="157">
        <v>0</v>
      </c>
      <c r="AC231" s="157">
        <v>0</v>
      </c>
      <c r="AD231" s="157">
        <v>0.30645315000000001</v>
      </c>
      <c r="AE231" s="157">
        <v>7334.1403</v>
      </c>
      <c r="AF231" s="157">
        <v>741.83735999999999</v>
      </c>
      <c r="AG231" s="157">
        <v>54166.667999999998</v>
      </c>
      <c r="AH231" s="157">
        <v>18073.075000000001</v>
      </c>
      <c r="AI231" s="157">
        <v>77.426331000000005</v>
      </c>
    </row>
    <row r="232" spans="1:35">
      <c r="A232" t="s">
        <v>436</v>
      </c>
      <c r="B232" t="s">
        <v>2</v>
      </c>
      <c r="C232" s="157">
        <v>41.021044000000003</v>
      </c>
      <c r="D232" s="157">
        <v>37.856332999999999</v>
      </c>
      <c r="E232" s="157">
        <v>7.5275825999999997</v>
      </c>
      <c r="F232" s="157">
        <v>332.96199999999999</v>
      </c>
      <c r="G232" s="157">
        <v>1.8514147999999999</v>
      </c>
      <c r="H232" s="157">
        <v>526608.01</v>
      </c>
      <c r="I232" s="157">
        <v>2.1816240000000001E-2</v>
      </c>
      <c r="J232" s="157">
        <v>4.0057210000000003E-2</v>
      </c>
      <c r="K232" s="157">
        <v>2.9980506</v>
      </c>
      <c r="L232" s="157">
        <v>6.3997368999999998E-2</v>
      </c>
      <c r="M232" s="157">
        <v>0.11413371</v>
      </c>
      <c r="N232" s="157">
        <v>8.6779428000000006E-2</v>
      </c>
      <c r="O232" s="157">
        <v>1.7416688000000001E-3</v>
      </c>
      <c r="P232" s="157">
        <v>0.13205876</v>
      </c>
      <c r="Q232" s="157">
        <v>0</v>
      </c>
      <c r="R232" s="157">
        <v>6.2226111999999999E-4</v>
      </c>
      <c r="S232" s="157">
        <v>5.5353666000000005E-4</v>
      </c>
      <c r="T232" s="157">
        <v>9.8957667999999993E-4</v>
      </c>
      <c r="U232" s="157">
        <v>1.3463123E-3</v>
      </c>
      <c r="V232" s="157">
        <v>8.8383006999999993E-3</v>
      </c>
      <c r="W232" s="157">
        <v>4.6708078000000002E-3</v>
      </c>
      <c r="X232" s="157">
        <v>0</v>
      </c>
      <c r="Y232" s="157">
        <v>0</v>
      </c>
      <c r="Z232" s="157">
        <v>0</v>
      </c>
      <c r="AA232" s="157">
        <v>0</v>
      </c>
      <c r="AB232" s="157">
        <v>0</v>
      </c>
      <c r="AC232" s="157">
        <v>0</v>
      </c>
      <c r="AD232" s="157">
        <v>8.5787063000000003E-4</v>
      </c>
      <c r="AE232" s="157">
        <v>39.206271000000001</v>
      </c>
      <c r="AF232" s="157">
        <v>29.564999</v>
      </c>
      <c r="AG232" s="157">
        <v>9.9514908000000002</v>
      </c>
      <c r="AH232" s="157">
        <v>128.46784</v>
      </c>
      <c r="AI232" s="157">
        <v>119600.6</v>
      </c>
    </row>
    <row r="233" spans="1:35">
      <c r="A233" t="s">
        <v>437</v>
      </c>
      <c r="B233" t="s">
        <v>2</v>
      </c>
      <c r="C233" s="157">
        <v>34.570613000000002</v>
      </c>
      <c r="D233" s="157">
        <v>31.735568000000001</v>
      </c>
      <c r="E233" s="157">
        <v>12.762403000000001</v>
      </c>
      <c r="F233" s="157">
        <v>1265.8223</v>
      </c>
      <c r="G233" s="157">
        <v>45.652363000000001</v>
      </c>
      <c r="H233" s="157">
        <v>996351.76</v>
      </c>
      <c r="I233" s="157">
        <v>0.90167721999999995</v>
      </c>
      <c r="J233" s="157">
        <v>6.8979024999999999E-2</v>
      </c>
      <c r="K233" s="157">
        <v>2.1409269000000002</v>
      </c>
      <c r="L233" s="157">
        <v>6.7347298E-2</v>
      </c>
      <c r="M233" s="157">
        <v>3.1708704000000001</v>
      </c>
      <c r="N233" s="157">
        <v>8.7050573000000006E-2</v>
      </c>
      <c r="O233" s="157">
        <v>5.3661222999999997E-3</v>
      </c>
      <c r="P233" s="157">
        <v>61.855525999999998</v>
      </c>
      <c r="Q233" s="157">
        <v>0</v>
      </c>
      <c r="R233" s="157">
        <v>7.9829654999999996E-4</v>
      </c>
      <c r="S233" s="157">
        <v>1.9549055E-3</v>
      </c>
      <c r="T233" s="157">
        <v>2.2793542E-3</v>
      </c>
      <c r="U233" s="157">
        <v>3.0915665000000002E-3</v>
      </c>
      <c r="V233" s="157">
        <v>9.4018438000000003E-3</v>
      </c>
      <c r="W233" s="157">
        <v>5.8083098999999999E-2</v>
      </c>
      <c r="X233" s="157">
        <v>0</v>
      </c>
      <c r="Y233" s="157">
        <v>0</v>
      </c>
      <c r="Z233" s="157">
        <v>0</v>
      </c>
      <c r="AA233" s="157">
        <v>0</v>
      </c>
      <c r="AB233" s="157">
        <v>0</v>
      </c>
      <c r="AC233" s="157">
        <v>0</v>
      </c>
      <c r="AD233" s="157">
        <v>1.2557446E-2</v>
      </c>
      <c r="AE233" s="157">
        <v>210.76965999999999</v>
      </c>
      <c r="AF233" s="157">
        <v>64.196414000000004</v>
      </c>
      <c r="AG233" s="157">
        <v>42.162238000000002</v>
      </c>
      <c r="AH233" s="157">
        <v>229.27474000000001</v>
      </c>
      <c r="AI233" s="157">
        <v>11869165</v>
      </c>
    </row>
    <row r="234" spans="1:35">
      <c r="A234" t="s">
        <v>438</v>
      </c>
      <c r="B234" t="s">
        <v>2</v>
      </c>
      <c r="C234" s="157">
        <v>7.1089125999999994E-5</v>
      </c>
      <c r="D234" s="157">
        <v>8.0437917999999994E-5</v>
      </c>
      <c r="E234" s="157">
        <v>1.3590166E-4</v>
      </c>
      <c r="F234" s="157">
        <v>3.0248736000000002E-3</v>
      </c>
      <c r="G234" s="157">
        <v>1.3187509000000001E-4</v>
      </c>
      <c r="H234" s="157">
        <v>3.6529010000000001E-2</v>
      </c>
      <c r="I234" s="157">
        <v>6.7016815000000006E-5</v>
      </c>
      <c r="J234" s="157">
        <v>9.2444992000000002E-7</v>
      </c>
      <c r="K234" s="157">
        <v>9.0519948999999998E-7</v>
      </c>
      <c r="L234" s="157">
        <v>4.6412645999999998E-7</v>
      </c>
      <c r="M234" s="157">
        <v>1.5255095999999999E-6</v>
      </c>
      <c r="N234" s="157">
        <v>1.5122302999999999E-6</v>
      </c>
      <c r="O234" s="157">
        <v>1.0173228E-7</v>
      </c>
      <c r="P234" s="157">
        <v>5.2063367000000002E-6</v>
      </c>
      <c r="Q234" s="157">
        <v>0</v>
      </c>
      <c r="R234" s="157">
        <v>4.7376070999999996E-9</v>
      </c>
      <c r="S234" s="157">
        <v>1.7619699999999999E-8</v>
      </c>
      <c r="T234" s="157">
        <v>7.4453145E-9</v>
      </c>
      <c r="U234" s="157">
        <v>1.2679683E-8</v>
      </c>
      <c r="V234" s="157">
        <v>2.1349645999999999E-8</v>
      </c>
      <c r="W234" s="157">
        <v>2.4192673999999998E-7</v>
      </c>
      <c r="X234" s="157">
        <v>0</v>
      </c>
      <c r="Y234" s="157">
        <v>0</v>
      </c>
      <c r="Z234" s="157">
        <v>0</v>
      </c>
      <c r="AA234" s="157">
        <v>0</v>
      </c>
      <c r="AB234" s="157">
        <v>0</v>
      </c>
      <c r="AC234" s="157">
        <v>0</v>
      </c>
      <c r="AD234" s="157">
        <v>8.5170218E-7</v>
      </c>
      <c r="AE234" s="157">
        <v>1.8529302E-4</v>
      </c>
      <c r="AF234" s="157">
        <v>6.7420912000000003E-5</v>
      </c>
      <c r="AG234" s="157">
        <v>2.9964910000000001E-4</v>
      </c>
      <c r="AH234" s="157">
        <v>1.22218E-3</v>
      </c>
      <c r="AI234" s="157">
        <v>1.5988703E-5</v>
      </c>
    </row>
    <row r="235" spans="1:35">
      <c r="A235" t="s">
        <v>439</v>
      </c>
      <c r="B235" t="s">
        <v>2</v>
      </c>
      <c r="C235" s="157">
        <v>6.8133020999999996</v>
      </c>
      <c r="D235" s="157">
        <v>7.6679975000000002</v>
      </c>
      <c r="E235" s="157">
        <v>17.717110999999999</v>
      </c>
      <c r="F235" s="157">
        <v>391.73653000000002</v>
      </c>
      <c r="G235" s="157">
        <v>16.546026000000001</v>
      </c>
      <c r="H235" s="157">
        <v>3023.5938000000001</v>
      </c>
      <c r="I235" s="157">
        <v>4.9118611999999997</v>
      </c>
      <c r="J235" s="157">
        <v>8.6800027000000002E-2</v>
      </c>
      <c r="K235" s="157">
        <v>0.11511950999999999</v>
      </c>
      <c r="L235" s="157">
        <v>5.8566048000000002E-2</v>
      </c>
      <c r="M235" s="157">
        <v>0.13834128000000001</v>
      </c>
      <c r="N235" s="157">
        <v>0.18440639</v>
      </c>
      <c r="O235" s="157">
        <v>1.3386274E-2</v>
      </c>
      <c r="P235" s="157">
        <v>0.47417056000000002</v>
      </c>
      <c r="Q235" s="157">
        <v>0</v>
      </c>
      <c r="R235" s="157">
        <v>5.6584531E-4</v>
      </c>
      <c r="S235" s="157">
        <v>1.5177680000000001E-3</v>
      </c>
      <c r="T235" s="157">
        <v>8.0395079999999995E-4</v>
      </c>
      <c r="U235" s="157">
        <v>1.4428808E-3</v>
      </c>
      <c r="V235" s="157">
        <v>2.3528805000000001E-3</v>
      </c>
      <c r="W235" s="157">
        <v>3.1254863000000001E-2</v>
      </c>
      <c r="X235" s="157">
        <v>0</v>
      </c>
      <c r="Y235" s="157">
        <v>0</v>
      </c>
      <c r="Z235" s="157">
        <v>0</v>
      </c>
      <c r="AA235" s="157">
        <v>0</v>
      </c>
      <c r="AB235" s="157">
        <v>0</v>
      </c>
      <c r="AC235" s="157">
        <v>0</v>
      </c>
      <c r="AD235" s="157">
        <v>6.2858315999999997E-2</v>
      </c>
      <c r="AE235" s="157">
        <v>17.751476</v>
      </c>
      <c r="AF235" s="157">
        <v>6.3629921999999999</v>
      </c>
      <c r="AG235" s="157">
        <v>23.395533</v>
      </c>
      <c r="AH235" s="157">
        <v>153.02422000000001</v>
      </c>
      <c r="AI235" s="157">
        <v>1.3673177000000001</v>
      </c>
    </row>
    <row r="236" spans="1:35">
      <c r="A236" t="s">
        <v>440</v>
      </c>
      <c r="B236" t="s">
        <v>2</v>
      </c>
      <c r="C236" s="157">
        <v>94.451721000000006</v>
      </c>
      <c r="D236" s="157">
        <v>60.953136999999998</v>
      </c>
      <c r="E236" s="157">
        <v>47.354695999999997</v>
      </c>
      <c r="F236" s="157">
        <v>2562.1976</v>
      </c>
      <c r="G236" s="157">
        <v>494.36853000000002</v>
      </c>
      <c r="H236" s="157">
        <v>34770.612999999998</v>
      </c>
      <c r="I236" s="157">
        <v>0.26285644000000002</v>
      </c>
      <c r="J236" s="157">
        <v>0.59641776000000002</v>
      </c>
      <c r="K236" s="157">
        <v>0.77839276000000002</v>
      </c>
      <c r="L236" s="157">
        <v>0.23065828999999999</v>
      </c>
      <c r="M236" s="157">
        <v>37.061779000000001</v>
      </c>
      <c r="N236" s="157">
        <v>15.30261</v>
      </c>
      <c r="O236" s="157">
        <v>1.8598679E-2</v>
      </c>
      <c r="P236" s="157">
        <v>1.6703558000000001</v>
      </c>
      <c r="Q236" s="157">
        <v>0</v>
      </c>
      <c r="R236" s="157">
        <v>5.8113278000000001E-3</v>
      </c>
      <c r="S236" s="157">
        <v>2.0248790999999999E-2</v>
      </c>
      <c r="T236" s="157">
        <v>8.8021659000000006E-3</v>
      </c>
      <c r="U236" s="157">
        <v>1.5157097E-2</v>
      </c>
      <c r="V236" s="157">
        <v>2.4788248999999998E-2</v>
      </c>
      <c r="W236" s="157">
        <v>9.0567390999999997E-2</v>
      </c>
      <c r="X236" s="157">
        <v>0</v>
      </c>
      <c r="Y236" s="157">
        <v>0</v>
      </c>
      <c r="Z236" s="157">
        <v>0</v>
      </c>
      <c r="AA236" s="157">
        <v>0</v>
      </c>
      <c r="AB236" s="157">
        <v>0</v>
      </c>
      <c r="AC236" s="157">
        <v>0</v>
      </c>
      <c r="AD236" s="157">
        <v>1.8847856999999999E-2</v>
      </c>
      <c r="AE236" s="157">
        <v>2217.7963</v>
      </c>
      <c r="AF236" s="157">
        <v>531.14377000000002</v>
      </c>
      <c r="AG236" s="157">
        <v>460.54097999999999</v>
      </c>
      <c r="AH236" s="157">
        <v>2553.1206000000002</v>
      </c>
      <c r="AI236" s="157">
        <v>5.7382881000000001</v>
      </c>
    </row>
    <row r="237" spans="1:35">
      <c r="A237" t="s">
        <v>441</v>
      </c>
      <c r="B237" t="s">
        <v>2</v>
      </c>
      <c r="C237" s="157">
        <v>29.360361999999999</v>
      </c>
      <c r="D237" s="157">
        <v>37.943069000000001</v>
      </c>
      <c r="E237" s="157">
        <v>3.6857745999999998</v>
      </c>
      <c r="F237" s="157">
        <v>100.1743</v>
      </c>
      <c r="G237" s="157">
        <v>8.7435951999999997</v>
      </c>
      <c r="H237" s="157">
        <v>2195.3742999999999</v>
      </c>
      <c r="I237" s="157">
        <v>0.15860292000000001</v>
      </c>
      <c r="J237" s="157">
        <v>0.12313657</v>
      </c>
      <c r="K237" s="157">
        <v>0.30866070000000001</v>
      </c>
      <c r="L237" s="157">
        <v>0.19253725999999999</v>
      </c>
      <c r="M237" s="157">
        <v>0.24568564000000001</v>
      </c>
      <c r="N237" s="157">
        <v>8.9623666000000005E-2</v>
      </c>
      <c r="O237" s="157">
        <v>6.6352384999999996E-3</v>
      </c>
      <c r="P237" s="157">
        <v>2.4408865999999998</v>
      </c>
      <c r="Q237" s="157">
        <v>0</v>
      </c>
      <c r="R237" s="157">
        <v>4.6747541000000002E-3</v>
      </c>
      <c r="S237" s="157">
        <v>2.7939521000000002E-3</v>
      </c>
      <c r="T237" s="157">
        <v>2.9782050999999999E-3</v>
      </c>
      <c r="U237" s="157">
        <v>4.4445435999999998E-3</v>
      </c>
      <c r="V237" s="157">
        <v>4.9588133E-2</v>
      </c>
      <c r="W237" s="157">
        <v>1.9299500000000001E-2</v>
      </c>
      <c r="X237" s="157">
        <v>0</v>
      </c>
      <c r="Y237" s="157">
        <v>0</v>
      </c>
      <c r="Z237" s="157">
        <v>0</v>
      </c>
      <c r="AA237" s="157">
        <v>0</v>
      </c>
      <c r="AB237" s="157">
        <v>0</v>
      </c>
      <c r="AC237" s="157">
        <v>0</v>
      </c>
      <c r="AD237" s="157">
        <v>7.3841367000000002E-3</v>
      </c>
      <c r="AE237" s="157">
        <v>50258.671000000002</v>
      </c>
      <c r="AF237" s="157">
        <v>9.8317137999999993</v>
      </c>
      <c r="AG237" s="157">
        <v>11567.227000000001</v>
      </c>
      <c r="AH237" s="157">
        <v>26876381</v>
      </c>
      <c r="AI237" s="157">
        <v>3.0665947</v>
      </c>
    </row>
    <row r="238" spans="1:35">
      <c r="A238" t="s">
        <v>442</v>
      </c>
      <c r="B238" t="s">
        <v>2</v>
      </c>
      <c r="C238" s="157">
        <v>236.66945999999999</v>
      </c>
      <c r="D238" s="157">
        <v>267.12198000000001</v>
      </c>
      <c r="E238" s="157">
        <v>553.94929000000002</v>
      </c>
      <c r="F238" s="157">
        <v>12285.812</v>
      </c>
      <c r="G238" s="157">
        <v>523.29733999999996</v>
      </c>
      <c r="H238" s="157">
        <v>110276.45</v>
      </c>
      <c r="I238" s="157">
        <v>189.09093999999999</v>
      </c>
      <c r="J238" s="157">
        <v>3.030646</v>
      </c>
      <c r="K238" s="157">
        <v>3.6242793999999998</v>
      </c>
      <c r="L238" s="157">
        <v>1.8749298000000001</v>
      </c>
      <c r="M238" s="157">
        <v>4.8845457999999997</v>
      </c>
      <c r="N238" s="157">
        <v>5.8844076000000003</v>
      </c>
      <c r="O238" s="157">
        <v>0.41758563999999998</v>
      </c>
      <c r="P238" s="157">
        <v>16.794523000000002</v>
      </c>
      <c r="Q238" s="157">
        <v>0</v>
      </c>
      <c r="R238" s="157">
        <v>1.8183118000000002E-2</v>
      </c>
      <c r="S238" s="157">
        <v>5.4621938000000002E-2</v>
      </c>
      <c r="T238" s="157">
        <v>2.6682913999999999E-2</v>
      </c>
      <c r="U238" s="157">
        <v>4.7100535999999998E-2</v>
      </c>
      <c r="V238" s="157">
        <v>7.7642463999999994E-2</v>
      </c>
      <c r="W238" s="157">
        <v>0.97998160999999995</v>
      </c>
      <c r="X238" s="157">
        <v>0</v>
      </c>
      <c r="Y238" s="157">
        <v>0</v>
      </c>
      <c r="Z238" s="157">
        <v>0</v>
      </c>
      <c r="AA238" s="157">
        <v>0</v>
      </c>
      <c r="AB238" s="157">
        <v>0</v>
      </c>
      <c r="AC238" s="157">
        <v>0</v>
      </c>
      <c r="AD238" s="157">
        <v>2.4125914000000002</v>
      </c>
      <c r="AE238" s="157">
        <v>614.54426000000001</v>
      </c>
      <c r="AF238" s="157">
        <v>221.56761</v>
      </c>
      <c r="AG238" s="157">
        <v>876.78759000000002</v>
      </c>
      <c r="AH238" s="157">
        <v>4855.1589000000004</v>
      </c>
      <c r="AI238" s="157">
        <v>49.382122000000003</v>
      </c>
    </row>
    <row r="239" spans="1:35">
      <c r="C239" s="157"/>
      <c r="D239" s="157"/>
      <c r="E239" s="157"/>
      <c r="F239" s="157"/>
      <c r="G239" s="157"/>
      <c r="H239" s="157"/>
      <c r="I239" s="157"/>
      <c r="J239" s="157"/>
      <c r="K239" s="157"/>
      <c r="L239" s="157"/>
      <c r="M239" s="157"/>
      <c r="N239" s="157"/>
      <c r="O239" s="157"/>
      <c r="P239" s="157"/>
      <c r="Q239" s="157"/>
      <c r="R239" s="157"/>
      <c r="S239" s="157"/>
      <c r="T239" s="157"/>
      <c r="U239" s="157"/>
      <c r="V239" s="157"/>
      <c r="W239" s="157"/>
      <c r="X239" s="157"/>
      <c r="Y239" s="157"/>
      <c r="Z239" s="157"/>
      <c r="AA239" s="157"/>
      <c r="AB239" s="157"/>
      <c r="AC239" s="157"/>
      <c r="AD239" s="157"/>
      <c r="AE239" s="157"/>
      <c r="AF239" s="157"/>
      <c r="AG239" s="157"/>
      <c r="AH239" s="157"/>
      <c r="AI239" s="157"/>
    </row>
    <row r="240" spans="1:35" s="1" customFormat="1">
      <c r="A240" s="1" t="s">
        <v>39</v>
      </c>
      <c r="B240" s="1" t="s">
        <v>2</v>
      </c>
      <c r="C240" s="13">
        <v>16914.298999999999</v>
      </c>
      <c r="D240" s="13">
        <v>13201.834000000001</v>
      </c>
      <c r="E240" s="13">
        <v>8385.5151000000005</v>
      </c>
      <c r="F240" s="13">
        <v>117176.06</v>
      </c>
      <c r="G240" s="13">
        <v>4967.9120000000003</v>
      </c>
      <c r="H240" s="13">
        <v>9356296.5999999996</v>
      </c>
      <c r="I240" s="13">
        <v>365.89765999999997</v>
      </c>
      <c r="J240" s="13">
        <v>178.60033999999999</v>
      </c>
      <c r="K240" s="13">
        <v>405.15652</v>
      </c>
      <c r="L240" s="13">
        <v>114.3998</v>
      </c>
      <c r="M240" s="13">
        <v>211.37960000000001</v>
      </c>
      <c r="N240" s="13">
        <v>45.718671000000001</v>
      </c>
      <c r="O240" s="13">
        <v>17.729651</v>
      </c>
      <c r="P240" s="13">
        <v>435.99077999999997</v>
      </c>
      <c r="Q240" s="13">
        <v>508.82828999999998</v>
      </c>
      <c r="R240" s="13">
        <v>16.553920999999999</v>
      </c>
      <c r="S240" s="13">
        <v>108.51376999999999</v>
      </c>
      <c r="T240" s="13">
        <v>108.07302</v>
      </c>
      <c r="U240" s="13">
        <v>108.68934</v>
      </c>
      <c r="V240" s="13">
        <v>3.1685639999999999</v>
      </c>
      <c r="W240" s="13">
        <v>8.1226292000000004</v>
      </c>
      <c r="X240" s="13">
        <v>49.435279000000001</v>
      </c>
      <c r="Y240" s="13">
        <v>45000</v>
      </c>
      <c r="Z240" s="13">
        <v>150000</v>
      </c>
      <c r="AA240" s="13">
        <v>27000000</v>
      </c>
      <c r="AB240" s="13">
        <v>460000000</v>
      </c>
      <c r="AC240" s="13">
        <v>4400000</v>
      </c>
      <c r="AD240" s="13">
        <v>5.8962070999999998</v>
      </c>
      <c r="AE240" s="13">
        <v>480936.79</v>
      </c>
      <c r="AF240" s="13">
        <v>11482.392</v>
      </c>
      <c r="AG240" s="13">
        <v>64496.250999999997</v>
      </c>
      <c r="AH240" s="13">
        <v>27122600</v>
      </c>
      <c r="AI240" s="13">
        <v>13185705</v>
      </c>
    </row>
  </sheetData>
  <customSheetViews>
    <customSheetView guid="{5C939B6A-1013-45AD-A8DF-BB176A346893}" fitToPage="1" hiddenRows="1" state="hidden">
      <pane xSplit="2" ySplit="9" topLeftCell="G10" activePane="bottomRight" state="frozen"/>
      <selection pane="bottomRight" activeCell="A75" sqref="A75:IV75"/>
      <pageMargins left="0.78740157499999996" right="0.78740157499999996" top="0.984251969" bottom="0.984251969" header="0.4921259845" footer="0.4921259845"/>
      <pageSetup paperSize="9" scale="32" orientation="landscape" r:id="rId1"/>
      <headerFooter alignWithMargins="0">
        <oddHeader>&amp;F</oddHeader>
        <oddFooter>&amp;L&amp;B Vertraulich&amp;B&amp;C&amp;D&amp;RSeite &amp;P</oddFooter>
      </headerFooter>
    </customSheetView>
    <customSheetView guid="{1C01E541-8A67-43B5-A788-EC28DF3B36AA}" fitToPage="1" hiddenRows="1" state="hidden">
      <pane xSplit="2" ySplit="9" topLeftCell="G10" activePane="bottomRight" state="frozen"/>
      <selection pane="bottomRight" activeCell="A75" sqref="A75:IV75"/>
      <pageMargins left="0.78740157499999996" right="0.78740157499999996" top="0.984251969" bottom="0.984251969" header="0.4921259845" footer="0.4921259845"/>
      <pageSetup paperSize="9" scale="32" orientation="landscape" r:id="rId2"/>
      <headerFooter alignWithMargins="0">
        <oddHeader>&amp;F</oddHeader>
        <oddFooter>&amp;L&amp;B Vertraulich&amp;B&amp;C&amp;D&amp;RSeite &amp;P</oddFooter>
      </headerFooter>
    </customSheetView>
    <customSheetView guid="{C9BFB6AD-5045-4B3F-B9E0-6BAC6F14C397}" fitToPage="1" hiddenRows="1" state="hidden">
      <pane xSplit="2" ySplit="9" topLeftCell="G10" activePane="bottomRight" state="frozen"/>
      <selection pane="bottomRight" activeCell="A75" sqref="A75:IV75"/>
      <pageMargins left="0.78740157499999996" right="0.78740157499999996" top="0.984251969" bottom="0.984251969" header="0.4921259845" footer="0.4921259845"/>
      <pageSetup paperSize="9" scale="32" orientation="landscape" r:id="rId3"/>
      <headerFooter alignWithMargins="0">
        <oddHeader>&amp;F</oddHeader>
        <oddFooter>&amp;L&amp;B Vertraulich&amp;B&amp;C&amp;D&amp;RSeite &amp;P</oddFooter>
      </headerFooter>
    </customSheetView>
    <customSheetView guid="{F7C43961-1B7B-48BF-9520-12F3ACF9DC41}" fitToPage="1" hiddenRows="1" state="hidden">
      <pane xSplit="2" ySplit="9" topLeftCell="G10" activePane="bottomRight" state="frozen"/>
      <selection pane="bottomRight" activeCell="A75" sqref="A75:IV75"/>
      <pageMargins left="0.78740157499999996" right="0.78740157499999996" top="0.984251969" bottom="0.984251969" header="0.4921259845" footer="0.4921259845"/>
      <pageSetup paperSize="9" scale="32" orientation="landscape" r:id="rId4"/>
      <headerFooter alignWithMargins="0">
        <oddHeader>&amp;F</oddHeader>
        <oddFooter>&amp;L&amp;B Vertraulich&amp;B&amp;C&amp;D&amp;RSeite &amp;P</oddFooter>
      </headerFooter>
    </customSheetView>
    <customSheetView guid="{CE963BD0-B8F9-4FC5-815A-8B7C4F9130DA}" fitToPage="1" hiddenRows="1" state="hidden">
      <pane xSplit="2" ySplit="9" topLeftCell="G10" activePane="bottomRight" state="frozen"/>
      <selection pane="bottomRight" activeCell="A75" sqref="A75:IV75"/>
      <pageMargins left="0.78740157499999996" right="0.78740157499999996" top="0.984251969" bottom="0.984251969" header="0.4921259845" footer="0.4921259845"/>
      <pageSetup paperSize="9" scale="32" orientation="landscape" r:id="rId5"/>
      <headerFooter alignWithMargins="0">
        <oddHeader>&amp;F</oddHeader>
        <oddFooter>&amp;L&amp;B Vertraulich&amp;B&amp;C&amp;D&amp;RSeite &amp;P</oddFooter>
      </headerFooter>
    </customSheetView>
  </customSheetViews>
  <phoneticPr fontId="0" type="noConversion"/>
  <pageMargins left="0.78740157499999996" right="0.78740157499999996" top="0.984251969" bottom="0.984251969" header="0.4921259845" footer="0.4921259845"/>
  <pageSetup paperSize="9" scale="32" orientation="landscape" r:id="rId6"/>
  <headerFooter alignWithMargins="0">
    <oddHeader>&amp;F</oddHeader>
    <oddFooter>&amp;L&amp;B Vertraulich&amp;B&amp;C&amp;D&amp;RSeite &amp;P</oddFooter>
  </headerFooter>
  <legacyDrawing r:id="rId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E83"/>
  <sheetViews>
    <sheetView workbookViewId="0">
      <pane xSplit="2" ySplit="2" topLeftCell="C3" activePane="bottomRight" state="frozen"/>
      <selection activeCell="A36" sqref="A36"/>
      <selection pane="topRight" activeCell="A36" sqref="A36"/>
      <selection pane="bottomLeft" activeCell="A36" sqref="A36"/>
      <selection pane="bottomRight" activeCell="A36" sqref="A36"/>
    </sheetView>
  </sheetViews>
  <sheetFormatPr baseColWidth="10" defaultRowHeight="12.9" outlineLevelRow="1"/>
  <sheetData>
    <row r="1" spans="1:17">
      <c r="A1" t="s">
        <v>40</v>
      </c>
      <c r="C1">
        <v>53</v>
      </c>
      <c r="D1">
        <v>52</v>
      </c>
      <c r="E1">
        <v>51</v>
      </c>
      <c r="F1">
        <v>91</v>
      </c>
      <c r="G1">
        <v>88</v>
      </c>
      <c r="J1">
        <v>54</v>
      </c>
      <c r="K1">
        <v>90</v>
      </c>
      <c r="L1">
        <v>101</v>
      </c>
      <c r="N1">
        <v>89</v>
      </c>
      <c r="O1">
        <v>63</v>
      </c>
    </row>
    <row r="2" spans="1:17" s="3" customFormat="1" ht="38.75">
      <c r="C2" s="29" t="str">
        <f>INDEX(menues!$1:$1048576,C1,sprache)</f>
        <v>Grenzwert Methan</v>
      </c>
      <c r="D2" s="29" t="str">
        <f>INDEX(menues!$1:$1048576,D1,sprache)</f>
        <v>Grenzwert Wärme</v>
      </c>
      <c r="E2" s="29" t="str">
        <f>INDEX(menues!$1:$1048576,E1,sprache)</f>
        <v>Grenzwert Strom</v>
      </c>
      <c r="F2" s="29" t="str">
        <f>INDEX(menues!$1:$1048576,F1,sprache)</f>
        <v>Grenzwert Kälte</v>
      </c>
      <c r="G2" s="29" t="str">
        <f>INDEX(menues!$1:$1048576,G1,sprache)</f>
        <v>Referenz Güllelager</v>
      </c>
      <c r="H2" s="29"/>
      <c r="I2" s="29"/>
      <c r="J2" s="29" t="str">
        <f>INDEX(menues!$1:$1048576,J1,sprache)</f>
        <v>Referenz Entsorgung</v>
      </c>
      <c r="K2" s="29" t="str">
        <f>INDEX(menues!$1:$1048576,K1,sprache)</f>
        <v>Referenz Frischklärschlamm</v>
      </c>
      <c r="L2" s="29">
        <f>INDEX(menues!$1:$1048576,L1,sprache)</f>
        <v>0</v>
      </c>
      <c r="N2" s="29" t="str">
        <f>INDEX(menues!$1:$1048576,N1,sprache)</f>
        <v>Referenz Kompost</v>
      </c>
      <c r="O2" s="29" t="str">
        <f>INDEX(menues!$1:$1048576,O1,sprache)</f>
        <v>Referenz direkte Emissionen</v>
      </c>
    </row>
    <row r="3" spans="1:17" s="1" customFormat="1">
      <c r="A3" s="1" t="s">
        <v>33</v>
      </c>
      <c r="C3" s="2">
        <v>16</v>
      </c>
      <c r="D3" s="2">
        <v>62</v>
      </c>
      <c r="E3" s="2">
        <v>14</v>
      </c>
      <c r="F3" s="2"/>
      <c r="G3" s="2"/>
      <c r="H3" s="2"/>
      <c r="I3" s="2"/>
      <c r="J3" s="2"/>
      <c r="K3" s="2"/>
      <c r="L3" s="2"/>
      <c r="M3" s="2"/>
      <c r="N3" s="2"/>
      <c r="O3" s="2"/>
      <c r="P3" s="2"/>
      <c r="Q3" s="2"/>
    </row>
    <row r="4" spans="1:17" s="1" customFormat="1">
      <c r="A4" s="1" t="s">
        <v>31</v>
      </c>
      <c r="C4" s="1">
        <f>INDEX(Prüfung!$1:$1048576,MATCH(C$3,Prüfung!$A:$A,0),3)</f>
        <v>0</v>
      </c>
      <c r="D4" s="1">
        <f>INDEX(Prüfung!$1:$1048576,MATCH(D$3,Prüfung!$A:$A,0),3)</f>
        <v>0</v>
      </c>
      <c r="E4" s="1">
        <f>INDEX(Prüfung!$1:$1048576,MATCH(E$3,Prüfung!$A:$A,0),3)</f>
        <v>0</v>
      </c>
    </row>
    <row r="5" spans="1:17" s="1" customFormat="1">
      <c r="A5" s="1" t="s">
        <v>32</v>
      </c>
      <c r="D5" s="1">
        <f>INDEX(Prüfung!$1:$1048576,MATCH(D$3,Prüfung!$A:$A,0),4)</f>
        <v>0</v>
      </c>
      <c r="E5" s="1">
        <f>INDEX(Prüfung!$1:$1048576,MATCH(E$3,Prüfung!$A:$A,0),4)</f>
        <v>0</v>
      </c>
      <c r="N5" s="39"/>
    </row>
    <row r="6" spans="1:17" s="1" customFormat="1">
      <c r="A6" s="1" t="s">
        <v>87</v>
      </c>
      <c r="D6" s="1" t="e">
        <f>INDEX(Prüfung!$1:$1048576,MATCH(D$3,Prüfung!$A:$A,0),5)</f>
        <v>#DIV/0!</v>
      </c>
      <c r="E6" s="1" t="e">
        <f>INDEX(Prüfung!$1:$1048576,MATCH(E$3,Prüfung!$A:$A,0),5)</f>
        <v>#DIV/0!</v>
      </c>
    </row>
    <row r="7" spans="1:17" s="1" customFormat="1">
      <c r="A7" s="1" t="s">
        <v>88</v>
      </c>
      <c r="D7" s="1">
        <f>INDEX(Prüfung!$1:$1048576,MATCH(D$3,Prüfung!$A:$A,0),6)</f>
        <v>0</v>
      </c>
      <c r="E7" s="1">
        <f>INDEX(Prüfung!$1:$1048576,MATCH(E$3,Prüfung!$A:$A,0),6)</f>
        <v>0</v>
      </c>
    </row>
    <row r="8" spans="1:17" s="1" customFormat="1">
      <c r="A8" s="1" t="s">
        <v>30</v>
      </c>
      <c r="B8" s="2"/>
      <c r="C8" s="1">
        <f>C4</f>
        <v>0</v>
      </c>
      <c r="D8" s="1">
        <f>D4</f>
        <v>0</v>
      </c>
      <c r="E8" s="1">
        <f>E4</f>
        <v>0</v>
      </c>
      <c r="G8" s="13"/>
      <c r="H8" s="13"/>
      <c r="I8" s="13"/>
      <c r="N8" s="39"/>
    </row>
    <row r="9" spans="1:17" s="1" customFormat="1">
      <c r="A9" s="1" t="s">
        <v>72</v>
      </c>
      <c r="B9" s="2"/>
      <c r="G9" s="38"/>
      <c r="H9" s="13"/>
      <c r="I9" s="13"/>
      <c r="O9" s="51"/>
    </row>
    <row r="10" spans="1:17" s="1" customFormat="1">
      <c r="A10" s="1" t="s">
        <v>0</v>
      </c>
      <c r="B10" s="14">
        <f>SUM(C10:K10)</f>
        <v>0</v>
      </c>
      <c r="C10" s="15">
        <f>C8*C45+C9</f>
        <v>0</v>
      </c>
      <c r="D10" s="15">
        <f>D8*D45</f>
        <v>0</v>
      </c>
      <c r="E10" s="15">
        <f>E8*E45+E9</f>
        <v>0</v>
      </c>
      <c r="F10" s="15">
        <f>F8*F45+F9</f>
        <v>0</v>
      </c>
      <c r="G10" s="15"/>
      <c r="H10" s="15"/>
      <c r="I10" s="15"/>
      <c r="J10" s="15"/>
      <c r="K10" s="15"/>
      <c r="L10" s="15"/>
      <c r="N10" s="39"/>
      <c r="O10" s="51"/>
    </row>
    <row r="11" spans="1:17" s="1" customFormat="1"/>
    <row r="12" spans="1:17" s="1" customFormat="1"/>
    <row r="13" spans="1:17" s="1" customFormat="1"/>
    <row r="14" spans="1:17" s="1" customFormat="1"/>
    <row r="15" spans="1:17" s="1" customFormat="1"/>
    <row r="16" spans="1:17">
      <c r="B16" s="1"/>
    </row>
    <row r="17" spans="1:2">
      <c r="A17" t="s">
        <v>297</v>
      </c>
      <c r="B17" t="s">
        <v>298</v>
      </c>
    </row>
    <row r="18" spans="1:2">
      <c r="A18" t="s">
        <v>299</v>
      </c>
      <c r="B18" t="s">
        <v>300</v>
      </c>
    </row>
    <row r="19" spans="1:2">
      <c r="A19" t="s">
        <v>301</v>
      </c>
      <c r="B19" t="s">
        <v>302</v>
      </c>
    </row>
    <row r="20" spans="1:2">
      <c r="A20" t="s">
        <v>303</v>
      </c>
      <c r="B20" t="s">
        <v>302</v>
      </c>
    </row>
    <row r="21" spans="1:2">
      <c r="A21" t="s">
        <v>305</v>
      </c>
      <c r="B21" t="s">
        <v>304</v>
      </c>
    </row>
    <row r="22" spans="1:2">
      <c r="A22" t="s">
        <v>307</v>
      </c>
      <c r="B22" t="s">
        <v>306</v>
      </c>
    </row>
    <row r="23" spans="1:2">
      <c r="A23" t="s">
        <v>309</v>
      </c>
      <c r="B23" t="s">
        <v>308</v>
      </c>
    </row>
    <row r="24" spans="1:2">
      <c r="A24" t="s">
        <v>311</v>
      </c>
      <c r="B24" t="s">
        <v>310</v>
      </c>
    </row>
    <row r="25" spans="1:2">
      <c r="A25" t="s">
        <v>313</v>
      </c>
      <c r="B25" t="s">
        <v>312</v>
      </c>
    </row>
    <row r="26" spans="1:2">
      <c r="A26" t="s">
        <v>315</v>
      </c>
      <c r="B26" t="s">
        <v>314</v>
      </c>
    </row>
    <row r="27" spans="1:2">
      <c r="A27" t="s">
        <v>317</v>
      </c>
      <c r="B27" t="s">
        <v>316</v>
      </c>
    </row>
    <row r="28" spans="1:2">
      <c r="A28" t="s">
        <v>319</v>
      </c>
      <c r="B28" t="s">
        <v>318</v>
      </c>
    </row>
    <row r="29" spans="1:2">
      <c r="A29" t="s">
        <v>339</v>
      </c>
      <c r="B29" t="s">
        <v>320</v>
      </c>
    </row>
    <row r="30" spans="1:2">
      <c r="A30" t="s">
        <v>340</v>
      </c>
      <c r="B30" t="s">
        <v>451</v>
      </c>
    </row>
    <row r="31" spans="1:2">
      <c r="A31" t="s">
        <v>341</v>
      </c>
      <c r="B31" t="s">
        <v>452</v>
      </c>
    </row>
    <row r="32" spans="1:2">
      <c r="A32" t="s">
        <v>342</v>
      </c>
      <c r="B32" t="s">
        <v>453</v>
      </c>
    </row>
    <row r="33" spans="1:31">
      <c r="A33" t="s">
        <v>343</v>
      </c>
      <c r="B33" t="s">
        <v>454</v>
      </c>
    </row>
    <row r="34" spans="1:31">
      <c r="A34" t="s">
        <v>321</v>
      </c>
      <c r="B34" t="s">
        <v>447</v>
      </c>
    </row>
    <row r="35" spans="1:31">
      <c r="A35" t="s">
        <v>323</v>
      </c>
      <c r="B35" t="s">
        <v>324</v>
      </c>
    </row>
    <row r="36" spans="1:31">
      <c r="A36" t="s">
        <v>327</v>
      </c>
      <c r="B36" t="s">
        <v>416</v>
      </c>
    </row>
    <row r="37" spans="1:31">
      <c r="A37" t="s">
        <v>417</v>
      </c>
      <c r="B37" t="s">
        <v>332</v>
      </c>
    </row>
    <row r="38" spans="1:31">
      <c r="A38" t="s">
        <v>329</v>
      </c>
      <c r="B38" t="s">
        <v>330</v>
      </c>
    </row>
    <row r="39" spans="1:31">
      <c r="A39" t="s">
        <v>331</v>
      </c>
      <c r="B39" t="s">
        <v>332</v>
      </c>
    </row>
    <row r="40" spans="1:31">
      <c r="A40" t="s">
        <v>333</v>
      </c>
      <c r="B40" t="s">
        <v>330</v>
      </c>
    </row>
    <row r="41" spans="1:31">
      <c r="A41" t="s">
        <v>334</v>
      </c>
      <c r="B41" t="s">
        <v>335</v>
      </c>
    </row>
    <row r="42" spans="1:31">
      <c r="A42" t="s">
        <v>336</v>
      </c>
      <c r="B42" t="s">
        <v>337</v>
      </c>
    </row>
    <row r="44" spans="1:31" s="3" customFormat="1" ht="77.45">
      <c r="A44" s="3" t="s">
        <v>335</v>
      </c>
      <c r="B44" s="3" t="s">
        <v>338</v>
      </c>
      <c r="C44" s="3" t="s">
        <v>52</v>
      </c>
      <c r="D44" s="3" t="s">
        <v>52</v>
      </c>
      <c r="E44" s="3" t="s">
        <v>53</v>
      </c>
      <c r="F44" s="3" t="s">
        <v>54</v>
      </c>
      <c r="G44" s="3" t="s">
        <v>55</v>
      </c>
      <c r="H44" s="3" t="s">
        <v>56</v>
      </c>
      <c r="I44" s="3" t="s">
        <v>76</v>
      </c>
      <c r="J44" s="3" t="s">
        <v>77</v>
      </c>
      <c r="K44" s="3" t="s">
        <v>57</v>
      </c>
      <c r="L44" s="3" t="s">
        <v>78</v>
      </c>
      <c r="M44" s="3" t="s">
        <v>107</v>
      </c>
      <c r="N44" s="3" t="s">
        <v>455</v>
      </c>
      <c r="O44" s="3" t="s">
        <v>456</v>
      </c>
      <c r="P44" s="3" t="s">
        <v>457</v>
      </c>
      <c r="Q44" s="3" t="s">
        <v>458</v>
      </c>
    </row>
    <row r="45" spans="1:31" s="1" customFormat="1">
      <c r="A45" s="197" t="s">
        <v>39</v>
      </c>
      <c r="B45" s="197" t="s">
        <v>2</v>
      </c>
      <c r="C45" s="197">
        <v>1.0615247E-2</v>
      </c>
      <c r="D45" s="197">
        <v>1.0615247E-2</v>
      </c>
      <c r="E45" s="197">
        <v>1.0254166E-2</v>
      </c>
      <c r="F45" s="197">
        <v>1.8939705000000001E-2</v>
      </c>
      <c r="G45" s="197">
        <v>2.6524347999999998E-3</v>
      </c>
      <c r="H45" s="197">
        <v>2.9690546000000001E-6</v>
      </c>
      <c r="I45" s="197">
        <v>1.1745254E-3</v>
      </c>
      <c r="J45" s="197">
        <v>2.7867030000000001E-4</v>
      </c>
      <c r="K45" s="197">
        <v>4.3643033999999997E-2</v>
      </c>
      <c r="L45" s="197">
        <v>7.5140368999999999E-3</v>
      </c>
      <c r="M45" s="1">
        <v>3.0687888E-2</v>
      </c>
      <c r="N45" s="37">
        <v>1.0349681999999999E-5</v>
      </c>
      <c r="O45" s="37">
        <v>1.1160245E-5</v>
      </c>
      <c r="P45" s="37">
        <v>7.7693312E-6</v>
      </c>
      <c r="Q45" s="1">
        <v>7.3894570000000007E-2</v>
      </c>
      <c r="W45" s="37"/>
      <c r="AC45" s="37"/>
      <c r="AD45" s="37"/>
      <c r="AE45" s="37"/>
    </row>
    <row r="46" spans="1:31">
      <c r="A46" s="198" t="s">
        <v>68</v>
      </c>
      <c r="B46" s="198" t="s">
        <v>2</v>
      </c>
      <c r="C46" s="198">
        <v>2.3865811000000001E-3</v>
      </c>
      <c r="D46" s="198">
        <v>2.3865811000000001E-3</v>
      </c>
      <c r="E46" s="198">
        <v>2.3069625999999998E-3</v>
      </c>
      <c r="F46" s="198">
        <v>4.5706603000000004E-3</v>
      </c>
      <c r="G46" s="198">
        <v>1.5038921E-3</v>
      </c>
      <c r="H46" s="198">
        <v>2.0504767999999998E-6</v>
      </c>
      <c r="I46" s="198">
        <v>7.9366790000000005E-4</v>
      </c>
      <c r="J46" s="198">
        <v>1.8830727E-4</v>
      </c>
      <c r="K46" s="198">
        <v>2.9491124000000001E-2</v>
      </c>
      <c r="L46" s="198">
        <v>5.2972371999999998E-3</v>
      </c>
      <c r="M46">
        <v>7.3315352000000002E-3</v>
      </c>
      <c r="N46" s="4">
        <v>7.6195540999999998E-6</v>
      </c>
      <c r="O46" s="4">
        <v>8.0482511999999997E-6</v>
      </c>
      <c r="P46" s="4">
        <v>5.1036220999999998E-6</v>
      </c>
      <c r="Q46">
        <v>4.3378513E-2</v>
      </c>
      <c r="W46" s="4"/>
      <c r="AC46" s="4"/>
      <c r="AD46" s="4"/>
      <c r="AE46" s="4"/>
    </row>
    <row r="47" spans="1:31">
      <c r="A47" s="198" t="s">
        <v>69</v>
      </c>
      <c r="B47" s="198" t="s">
        <v>2</v>
      </c>
      <c r="C47" s="198">
        <v>2.1494347000000001E-4</v>
      </c>
      <c r="D47" s="198">
        <v>2.1494347000000001E-4</v>
      </c>
      <c r="E47" s="198">
        <v>1.8386393000000001E-4</v>
      </c>
      <c r="F47" s="198">
        <v>4.1381049000000002E-4</v>
      </c>
      <c r="G47" s="198">
        <v>4.0447279E-4</v>
      </c>
      <c r="H47" s="198">
        <v>3.5667301999999997E-7</v>
      </c>
      <c r="I47" s="198">
        <v>1.3529079E-4</v>
      </c>
      <c r="J47" s="198">
        <v>3.2099369000000002E-5</v>
      </c>
      <c r="K47" s="198">
        <v>5.0271372000000002E-3</v>
      </c>
      <c r="L47" s="198">
        <v>3.7705866999999997E-4</v>
      </c>
      <c r="M47">
        <v>6.4040967999999998E-4</v>
      </c>
      <c r="N47" s="4">
        <v>8.8438826999999996E-7</v>
      </c>
      <c r="O47" s="4">
        <v>7.5358139000000002E-7</v>
      </c>
      <c r="P47" s="4">
        <v>1.0103324000000001E-6</v>
      </c>
      <c r="Q47">
        <v>6.4220084999999996E-3</v>
      </c>
      <c r="W47" s="4"/>
      <c r="Y47" s="4"/>
      <c r="AC47" s="4"/>
      <c r="AD47" s="4"/>
      <c r="AE47" s="4"/>
    </row>
    <row r="48" spans="1:31">
      <c r="A48" s="198" t="s">
        <v>70</v>
      </c>
      <c r="B48" s="198" t="s">
        <v>2</v>
      </c>
      <c r="C48" s="198">
        <v>8.0137226999999998E-3</v>
      </c>
      <c r="D48" s="198">
        <v>8.0137226999999998E-3</v>
      </c>
      <c r="E48" s="198">
        <v>7.7633390000000002E-3</v>
      </c>
      <c r="F48" s="198">
        <v>1.3955235E-2</v>
      </c>
      <c r="G48" s="198">
        <v>7.4406994999999998E-4</v>
      </c>
      <c r="H48" s="198">
        <v>5.6190480000000002E-7</v>
      </c>
      <c r="I48" s="198">
        <v>2.4556676000000001E-4</v>
      </c>
      <c r="J48" s="198">
        <v>5.826367E-5</v>
      </c>
      <c r="K48" s="198">
        <v>9.1247732999999998E-3</v>
      </c>
      <c r="L48" s="198">
        <v>1.839741E-3</v>
      </c>
      <c r="M48">
        <v>2.2715942999999999E-2</v>
      </c>
      <c r="N48" s="4">
        <v>1.8457393E-6</v>
      </c>
      <c r="O48" s="4">
        <v>2.3584127000000001E-6</v>
      </c>
      <c r="P48" s="4">
        <v>1.6553766000000001E-6</v>
      </c>
      <c r="Q48">
        <v>2.4094048E-2</v>
      </c>
      <c r="W48" s="4"/>
      <c r="Y48" s="4"/>
      <c r="AC48" s="4"/>
      <c r="AD48" s="4"/>
      <c r="AE48" s="4"/>
    </row>
    <row r="49" spans="1:31">
      <c r="A49" s="198"/>
      <c r="B49" s="198"/>
      <c r="C49" s="198"/>
      <c r="D49" s="198"/>
      <c r="E49" s="198"/>
      <c r="F49" s="198"/>
      <c r="G49" s="198"/>
      <c r="H49" s="198"/>
      <c r="I49" s="198"/>
      <c r="J49" s="198"/>
      <c r="K49" s="198"/>
      <c r="L49" s="198"/>
      <c r="W49" s="4"/>
      <c r="AC49" s="4"/>
      <c r="AD49" s="4"/>
      <c r="AE49" s="4"/>
    </row>
    <row r="50" spans="1:31" s="1" customFormat="1">
      <c r="A50" s="197" t="s">
        <v>1</v>
      </c>
      <c r="B50" s="197" t="s">
        <v>2</v>
      </c>
      <c r="C50" s="197">
        <v>7.7681508E-3</v>
      </c>
      <c r="D50" s="197">
        <v>7.6644577000000002E-3</v>
      </c>
      <c r="E50" s="197">
        <v>1.3690575999999999E-2</v>
      </c>
      <c r="F50" s="197">
        <v>1.3526650000000001E-3</v>
      </c>
      <c r="G50" s="197">
        <v>3.5528622E-6</v>
      </c>
      <c r="H50" s="197">
        <v>8.0076989999999999E-4</v>
      </c>
      <c r="I50" s="197">
        <v>1.8999229999999999E-4</v>
      </c>
      <c r="J50" s="197">
        <v>2.975502E-2</v>
      </c>
      <c r="K50" s="197">
        <v>1.0822236E-3</v>
      </c>
      <c r="L50" s="197">
        <v>2.2402034000000001E-2</v>
      </c>
      <c r="W50" s="37"/>
      <c r="AC50" s="37"/>
      <c r="AD50" s="37"/>
      <c r="AE50" s="37"/>
    </row>
    <row r="51" spans="1:31">
      <c r="C51" t="b">
        <f>C50=C45</f>
        <v>0</v>
      </c>
      <c r="D51" t="b">
        <f t="shared" ref="D51:L51" si="0">D50=D45</f>
        <v>0</v>
      </c>
      <c r="E51" t="b">
        <f t="shared" si="0"/>
        <v>0</v>
      </c>
      <c r="F51" t="b">
        <f t="shared" si="0"/>
        <v>0</v>
      </c>
      <c r="G51" t="b">
        <f t="shared" si="0"/>
        <v>0</v>
      </c>
      <c r="H51" t="b">
        <f t="shared" si="0"/>
        <v>0</v>
      </c>
      <c r="I51" t="b">
        <f t="shared" si="0"/>
        <v>0</v>
      </c>
      <c r="J51" t="b">
        <f t="shared" si="0"/>
        <v>0</v>
      </c>
      <c r="K51" t="b">
        <f t="shared" si="0"/>
        <v>0</v>
      </c>
      <c r="L51" t="b">
        <f t="shared" si="0"/>
        <v>0</v>
      </c>
      <c r="W51" s="4"/>
      <c r="Y51" s="4"/>
      <c r="AC51" s="4"/>
      <c r="AD51" s="4"/>
      <c r="AE51" s="4"/>
    </row>
    <row r="52" spans="1:31">
      <c r="C52" s="198">
        <f>C50-C45</f>
        <v>-2.8470961999999995E-3</v>
      </c>
      <c r="D52" s="198">
        <f t="shared" ref="D52:L52" si="1">D50-D45</f>
        <v>-2.9507892999999993E-3</v>
      </c>
      <c r="E52" s="198">
        <f t="shared" si="1"/>
        <v>3.4364099999999991E-3</v>
      </c>
      <c r="F52" s="198">
        <f t="shared" si="1"/>
        <v>-1.7587040000000002E-2</v>
      </c>
      <c r="G52" s="198">
        <f t="shared" si="1"/>
        <v>-2.6488819377999996E-3</v>
      </c>
      <c r="H52" s="198">
        <f t="shared" si="1"/>
        <v>7.9780084539999999E-4</v>
      </c>
      <c r="I52" s="198">
        <f t="shared" si="1"/>
        <v>-9.8453309999999993E-4</v>
      </c>
      <c r="J52" s="198">
        <f t="shared" si="1"/>
        <v>2.9476349700000001E-2</v>
      </c>
      <c r="K52" s="198">
        <f t="shared" si="1"/>
        <v>-4.2560810399999996E-2</v>
      </c>
      <c r="L52" s="198">
        <f t="shared" si="1"/>
        <v>1.4887997100000001E-2</v>
      </c>
      <c r="W52" s="4"/>
      <c r="Y52" s="4"/>
      <c r="AC52" s="4"/>
      <c r="AD52" s="4"/>
      <c r="AE52" s="4"/>
    </row>
    <row r="53" spans="1:31">
      <c r="G53" s="4"/>
      <c r="W53" s="4"/>
      <c r="Y53" s="4"/>
      <c r="AC53" s="4"/>
      <c r="AD53" s="4"/>
      <c r="AE53" s="4"/>
    </row>
    <row r="54" spans="1:31">
      <c r="G54" s="4"/>
    </row>
    <row r="55" spans="1:31">
      <c r="B55" s="199" t="s">
        <v>387</v>
      </c>
      <c r="C55" s="4"/>
      <c r="D55" s="4"/>
      <c r="G55" s="4"/>
      <c r="I55" s="4"/>
    </row>
    <row r="56" spans="1:31" hidden="1" outlineLevel="1">
      <c r="G56" s="4"/>
      <c r="I56" s="4"/>
    </row>
    <row r="57" spans="1:31" hidden="1" outlineLevel="1">
      <c r="A57" t="s">
        <v>297</v>
      </c>
      <c r="B57" t="s">
        <v>298</v>
      </c>
    </row>
    <row r="58" spans="1:31" hidden="1" outlineLevel="1">
      <c r="A58" t="s">
        <v>299</v>
      </c>
      <c r="B58" t="s">
        <v>300</v>
      </c>
    </row>
    <row r="59" spans="1:31" hidden="1" outlineLevel="1">
      <c r="A59" t="s">
        <v>301</v>
      </c>
      <c r="B59" t="s">
        <v>302</v>
      </c>
    </row>
    <row r="60" spans="1:31" hidden="1" outlineLevel="1">
      <c r="A60" t="s">
        <v>303</v>
      </c>
      <c r="B60" t="s">
        <v>304</v>
      </c>
    </row>
    <row r="61" spans="1:31" hidden="1" outlineLevel="1">
      <c r="A61" t="s">
        <v>305</v>
      </c>
      <c r="B61" t="s">
        <v>306</v>
      </c>
    </row>
    <row r="62" spans="1:31" hidden="1" outlineLevel="1">
      <c r="A62" t="s">
        <v>307</v>
      </c>
      <c r="B62" t="s">
        <v>308</v>
      </c>
    </row>
    <row r="63" spans="1:31" hidden="1" outlineLevel="1">
      <c r="A63" t="s">
        <v>309</v>
      </c>
      <c r="B63" t="s">
        <v>310</v>
      </c>
    </row>
    <row r="64" spans="1:31" hidden="1" outlineLevel="1">
      <c r="A64" t="s">
        <v>311</v>
      </c>
      <c r="B64" t="s">
        <v>312</v>
      </c>
    </row>
    <row r="65" spans="1:12" hidden="1" outlineLevel="1">
      <c r="A65" t="s">
        <v>313</v>
      </c>
      <c r="B65" t="s">
        <v>314</v>
      </c>
    </row>
    <row r="66" spans="1:12" hidden="1" outlineLevel="1">
      <c r="A66" t="s">
        <v>315</v>
      </c>
      <c r="B66" t="s">
        <v>316</v>
      </c>
    </row>
    <row r="67" spans="1:12" hidden="1" outlineLevel="1">
      <c r="A67" t="s">
        <v>317</v>
      </c>
      <c r="B67" t="s">
        <v>318</v>
      </c>
    </row>
    <row r="68" spans="1:12" hidden="1" outlineLevel="1">
      <c r="A68" t="s">
        <v>319</v>
      </c>
      <c r="B68" t="s">
        <v>320</v>
      </c>
    </row>
    <row r="69" spans="1:12" hidden="1" outlineLevel="1">
      <c r="A69" t="s">
        <v>321</v>
      </c>
      <c r="B69" t="s">
        <v>322</v>
      </c>
    </row>
    <row r="70" spans="1:12" hidden="1" outlineLevel="1">
      <c r="A70" t="s">
        <v>323</v>
      </c>
      <c r="B70" t="s">
        <v>324</v>
      </c>
    </row>
    <row r="71" spans="1:12" hidden="1" outlineLevel="1">
      <c r="A71" t="s">
        <v>325</v>
      </c>
      <c r="B71" t="s">
        <v>326</v>
      </c>
    </row>
    <row r="72" spans="1:12" hidden="1" outlineLevel="1">
      <c r="A72" t="s">
        <v>327</v>
      </c>
      <c r="B72" t="s">
        <v>328</v>
      </c>
    </row>
    <row r="73" spans="1:12" hidden="1" outlineLevel="1">
      <c r="A73" t="s">
        <v>329</v>
      </c>
      <c r="B73" t="s">
        <v>330</v>
      </c>
    </row>
    <row r="74" spans="1:12" hidden="1" outlineLevel="1">
      <c r="A74" t="s">
        <v>331</v>
      </c>
      <c r="B74" t="s">
        <v>332</v>
      </c>
    </row>
    <row r="75" spans="1:12" hidden="1" outlineLevel="1">
      <c r="A75" t="s">
        <v>333</v>
      </c>
      <c r="B75" t="s">
        <v>330</v>
      </c>
    </row>
    <row r="76" spans="1:12" hidden="1" outlineLevel="1">
      <c r="A76" t="s">
        <v>334</v>
      </c>
      <c r="B76" t="s">
        <v>335</v>
      </c>
    </row>
    <row r="77" spans="1:12" hidden="1" outlineLevel="1">
      <c r="A77" t="s">
        <v>336</v>
      </c>
      <c r="B77" t="s">
        <v>337</v>
      </c>
    </row>
    <row r="78" spans="1:12" hidden="1" outlineLevel="1"/>
    <row r="79" spans="1:12" collapsed="1">
      <c r="A79" t="s">
        <v>335</v>
      </c>
      <c r="B79" t="s">
        <v>338</v>
      </c>
      <c r="C79" t="s">
        <v>52</v>
      </c>
      <c r="D79" t="s">
        <v>53</v>
      </c>
      <c r="E79" t="s">
        <v>54</v>
      </c>
      <c r="F79" t="s">
        <v>55</v>
      </c>
      <c r="G79" t="s">
        <v>56</v>
      </c>
      <c r="H79" t="s">
        <v>76</v>
      </c>
      <c r="I79" t="s">
        <v>77</v>
      </c>
      <c r="J79" t="s">
        <v>57</v>
      </c>
      <c r="K79" t="s">
        <v>78</v>
      </c>
      <c r="L79" t="s">
        <v>107</v>
      </c>
    </row>
    <row r="80" spans="1:12" s="1" customFormat="1">
      <c r="A80" s="197" t="s">
        <v>39</v>
      </c>
      <c r="B80" s="197" t="s">
        <v>2</v>
      </c>
      <c r="C80" s="197">
        <v>9.1910368999999995E-3</v>
      </c>
      <c r="D80" s="197">
        <v>9.1051629999999995E-3</v>
      </c>
      <c r="E80" s="197">
        <v>1.6310958E-2</v>
      </c>
      <c r="F80" s="197">
        <v>2.9897765000000001E-3</v>
      </c>
      <c r="G80" s="197">
        <v>4.8660290999999998E-6</v>
      </c>
      <c r="H80" s="197">
        <v>1.1496123E-3</v>
      </c>
      <c r="I80" s="197">
        <v>2.7275937000000001E-4</v>
      </c>
      <c r="J80" s="197">
        <v>4.2717312E-2</v>
      </c>
      <c r="K80" s="197">
        <v>1.5865250000000001E-3</v>
      </c>
      <c r="L80" s="197">
        <v>2.6689257000000001E-2</v>
      </c>
    </row>
    <row r="81" spans="1:12">
      <c r="A81" t="s">
        <v>68</v>
      </c>
      <c r="B81" t="s">
        <v>2</v>
      </c>
      <c r="C81">
        <v>1.517755E-3</v>
      </c>
      <c r="D81">
        <v>1.6061414999999999E-3</v>
      </c>
      <c r="E81">
        <v>3.0072649999999999E-3</v>
      </c>
      <c r="F81">
        <v>1.7473018E-3</v>
      </c>
      <c r="G81" s="4">
        <v>2.8140084000000001E-6</v>
      </c>
      <c r="H81">
        <v>7.8969138999999999E-4</v>
      </c>
      <c r="I81">
        <v>1.8736379E-4</v>
      </c>
      <c r="J81">
        <v>2.9343365E-2</v>
      </c>
      <c r="K81">
        <v>1.1067161E-3</v>
      </c>
      <c r="L81">
        <v>4.8997588999999996E-3</v>
      </c>
    </row>
    <row r="82" spans="1:12">
      <c r="A82" t="s">
        <v>69</v>
      </c>
      <c r="B82" t="s">
        <v>2</v>
      </c>
      <c r="C82" s="4">
        <v>4.9443671999999999E-5</v>
      </c>
      <c r="D82" s="4">
        <v>6.0404166E-5</v>
      </c>
      <c r="E82">
        <v>1.2300207E-4</v>
      </c>
      <c r="F82">
        <v>4.0843234999999998E-4</v>
      </c>
      <c r="G82" s="4">
        <v>4.8902129000000004E-7</v>
      </c>
      <c r="H82">
        <v>1.1646702E-4</v>
      </c>
      <c r="I82" s="4">
        <v>2.7633203E-5</v>
      </c>
      <c r="J82">
        <v>4.3276833000000002E-3</v>
      </c>
      <c r="K82" s="4">
        <v>9.2141769999999997E-5</v>
      </c>
      <c r="L82">
        <v>1.7081122E-4</v>
      </c>
    </row>
    <row r="83" spans="1:12">
      <c r="A83" t="s">
        <v>70</v>
      </c>
      <c r="B83" t="s">
        <v>2</v>
      </c>
      <c r="C83">
        <v>7.6238382E-3</v>
      </c>
      <c r="D83">
        <v>7.4386173999999999E-3</v>
      </c>
      <c r="E83">
        <v>1.3180691E-2</v>
      </c>
      <c r="F83">
        <v>8.3404238999999997E-4</v>
      </c>
      <c r="G83" s="4">
        <v>1.5629992999999999E-6</v>
      </c>
      <c r="H83">
        <v>2.4345392000000001E-4</v>
      </c>
      <c r="I83" s="4">
        <v>5.7762374000000003E-5</v>
      </c>
      <c r="J83">
        <v>9.0462644999999998E-3</v>
      </c>
      <c r="K83">
        <v>3.8766712999999998E-4</v>
      </c>
      <c r="L83">
        <v>2.1618687000000001E-2</v>
      </c>
    </row>
  </sheetData>
  <customSheetViews>
    <customSheetView guid="{5C939B6A-1013-45AD-A8DF-BB176A346893}" fitToPage="1" hiddenRows="1" state="hidden">
      <pane xSplit="2" ySplit="2" topLeftCell="C36" activePane="bottomRight" state="frozen"/>
      <selection pane="bottomRight" activeCell="A75" sqref="A75:IV75"/>
      <pageMargins left="0.78740157499999996" right="0.78740157499999996" top="0.984251969" bottom="0.984251969" header="0.4921259845" footer="0.4921259845"/>
      <printOptions headings="1"/>
      <pageSetup paperSize="9" scale="66" orientation="landscape" r:id="rId1"/>
      <headerFooter alignWithMargins="0"/>
    </customSheetView>
    <customSheetView guid="{1C01E541-8A67-43B5-A788-EC28DF3B36AA}" fitToPage="1" hiddenRows="1" state="hidden">
      <pane xSplit="2" ySplit="2" topLeftCell="C36" activePane="bottomRight" state="frozen"/>
      <selection pane="bottomRight" activeCell="A75" sqref="A75:IV75"/>
      <pageMargins left="0.78740157499999996" right="0.78740157499999996" top="0.984251969" bottom="0.984251969" header="0.4921259845" footer="0.4921259845"/>
      <printOptions headings="1"/>
      <pageSetup paperSize="9" scale="66" orientation="landscape" r:id="rId2"/>
      <headerFooter alignWithMargins="0"/>
    </customSheetView>
    <customSheetView guid="{C9BFB6AD-5045-4B3F-B9E0-6BAC6F14C397}" fitToPage="1" hiddenRows="1" state="hidden">
      <pane xSplit="2" ySplit="2" topLeftCell="C36" activePane="bottomRight" state="frozen"/>
      <selection pane="bottomRight" activeCell="A75" sqref="A75:IV75"/>
      <pageMargins left="0.78740157499999996" right="0.78740157499999996" top="0.984251969" bottom="0.984251969" header="0.4921259845" footer="0.4921259845"/>
      <printOptions headings="1"/>
      <pageSetup paperSize="9" scale="66" orientation="landscape" r:id="rId3"/>
      <headerFooter alignWithMargins="0"/>
    </customSheetView>
    <customSheetView guid="{F7C43961-1B7B-48BF-9520-12F3ACF9DC41}" fitToPage="1" hiddenRows="1" state="hidden">
      <pane xSplit="2" ySplit="2" topLeftCell="C36" activePane="bottomRight" state="frozen"/>
      <selection pane="bottomRight" activeCell="A75" sqref="A75:IV75"/>
      <pageMargins left="0.78740157499999996" right="0.78740157499999996" top="0.984251969" bottom="0.984251969" header="0.4921259845" footer="0.4921259845"/>
      <printOptions headings="1"/>
      <pageSetup paperSize="9" scale="66" orientation="landscape" r:id="rId4"/>
      <headerFooter alignWithMargins="0"/>
    </customSheetView>
    <customSheetView guid="{CE963BD0-B8F9-4FC5-815A-8B7C4F9130DA}" fitToPage="1" hiddenRows="1" state="hidden">
      <pane xSplit="2" ySplit="2" topLeftCell="C36" activePane="bottomRight" state="frozen"/>
      <selection pane="bottomRight" activeCell="A75" sqref="A75:IV75"/>
      <pageMargins left="0.78740157499999996" right="0.78740157499999996" top="0.984251969" bottom="0.984251969" header="0.4921259845" footer="0.4921259845"/>
      <printOptions headings="1"/>
      <pageSetup paperSize="9" scale="66" orientation="landscape" r:id="rId5"/>
      <headerFooter alignWithMargins="0"/>
    </customSheetView>
  </customSheetViews>
  <phoneticPr fontId="0" type="noConversion"/>
  <printOptions headings="1"/>
  <pageMargins left="0.78740157499999996" right="0.78740157499999996" top="0.984251969" bottom="0.984251969" header="0.4921259845" footer="0.4921259845"/>
  <pageSetup paperSize="9" scale="66" orientation="landscape" r:id="rId6"/>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5A15FA484829047B820081C13B776B8" ma:contentTypeVersion="13" ma:contentTypeDescription="Ein neues Dokument erstellen." ma:contentTypeScope="" ma:versionID="318e18ccfe8011bf8ce3ad466195652d">
  <xsd:schema xmlns:xsd="http://www.w3.org/2001/XMLSchema" xmlns:xs="http://www.w3.org/2001/XMLSchema" xmlns:p="http://schemas.microsoft.com/office/2006/metadata/properties" xmlns:ns3="1bc1164a-806e-45a7-95cb-103683b17389" xmlns:ns4="17f7b99e-3073-4234-923b-c107e6d3b015" targetNamespace="http://schemas.microsoft.com/office/2006/metadata/properties" ma:root="true" ma:fieldsID="0f3cdb6bae01d85022154b03cd9e5696" ns3:_="" ns4:_="">
    <xsd:import namespace="1bc1164a-806e-45a7-95cb-103683b17389"/>
    <xsd:import namespace="17f7b99e-3073-4234-923b-c107e6d3b01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c1164a-806e-45a7-95cb-103683b173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f7b99e-3073-4234-923b-c107e6d3b015" elementFormDefault="qualified">
    <xsd:import namespace="http://schemas.microsoft.com/office/2006/documentManagement/types"/>
    <xsd:import namespace="http://schemas.microsoft.com/office/infopath/2007/PartnerControls"/>
    <xsd:element name="SharedWithUsers" ma:index="16"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Freigegeben für - Details" ma:internalName="SharedWithDetails" ma:readOnly="true">
      <xsd:simpleType>
        <xsd:restriction base="dms:Note">
          <xsd:maxLength value="255"/>
        </xsd:restriction>
      </xsd:simpleType>
    </xsd:element>
    <xsd:element name="SharingHintHash" ma:index="18" nillable="true" ma:displayName="Freigabehinweis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32758F-41EA-49FE-9E2A-78A416BB20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c1164a-806e-45a7-95cb-103683b17389"/>
    <ds:schemaRef ds:uri="17f7b99e-3073-4234-923b-c107e6d3b0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F585BDD-9435-41FB-A3AD-F8D6B6884F3E}">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17f7b99e-3073-4234-923b-c107e6d3b015"/>
    <ds:schemaRef ds:uri="http://purl.org/dc/terms/"/>
    <ds:schemaRef ds:uri="1bc1164a-806e-45a7-95cb-103683b17389"/>
    <ds:schemaRef ds:uri="http://www.w3.org/XML/1998/namespace"/>
    <ds:schemaRef ds:uri="http://purl.org/dc/dcmitype/"/>
  </ds:schemaRefs>
</ds:datastoreItem>
</file>

<file path=customXml/itemProps3.xml><?xml version="1.0" encoding="utf-8"?>
<ds:datastoreItem xmlns:ds="http://schemas.openxmlformats.org/officeDocument/2006/customXml" ds:itemID="{813B39D8-F2A5-48D4-99AF-1788DB1E63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18</vt:i4>
      </vt:variant>
    </vt:vector>
  </HeadingPairs>
  <TitlesOfParts>
    <vt:vector size="25" baseType="lpstr">
      <vt:lpstr>Info</vt:lpstr>
      <vt:lpstr>Prüfung</vt:lpstr>
      <vt:lpstr>Umweltdeklaration</vt:lpstr>
      <vt:lpstr>LRV</vt:lpstr>
      <vt:lpstr>menues</vt:lpstr>
      <vt:lpstr>LCIA</vt:lpstr>
      <vt:lpstr>Prüfwert</vt:lpstr>
      <vt:lpstr>altholzverbrennung</vt:lpstr>
      <vt:lpstr>Anlagengrösse</vt:lpstr>
      <vt:lpstr>Anlagentyp</vt:lpstr>
      <vt:lpstr>Auswahl_Behandlung_fest</vt:lpstr>
      <vt:lpstr>Prüfung!Druckbereich</vt:lpstr>
      <vt:lpstr>Umweltdeklaration!Druckbereich</vt:lpstr>
      <vt:lpstr>Gärgut_fest</vt:lpstr>
      <vt:lpstr>GlobalesKriterium</vt:lpstr>
      <vt:lpstr>kWhHolz_tAtro</vt:lpstr>
      <vt:lpstr>name</vt:lpstr>
      <vt:lpstr>Nm3_Abgas</vt:lpstr>
      <vt:lpstr>Nm3_kgAtro</vt:lpstr>
      <vt:lpstr>relFeuchte</vt:lpstr>
      <vt:lpstr>sprache</vt:lpstr>
      <vt:lpstr>StromMax</vt:lpstr>
      <vt:lpstr>tkm_outputs</vt:lpstr>
      <vt:lpstr>WärmeMax</vt:lpstr>
      <vt:lpstr>WärmeMin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naturemade Star Prüfung: Energieprodukte aus Holzenergieanlagen</dc:title>
  <dc:creator>Niels Jungbluth</dc:creator>
  <cp:keywords>Kennwertmodell, KWM, naturemade, Holz, Altholz, Holzvergasung</cp:keywords>
  <dc:description>Erstellt durch ESU-services GmbH</dc:description>
  <cp:lastModifiedBy>Niels Jungbluth</cp:lastModifiedBy>
  <cp:lastPrinted>2019-10-29T13:54:40Z</cp:lastPrinted>
  <dcterms:created xsi:type="dcterms:W3CDTF">2008-10-03T05:39:11Z</dcterms:created>
  <dcterms:modified xsi:type="dcterms:W3CDTF">2021-01-13T14:46:58Z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0x010100F5A15FA484829047B820081C13B776B8</vt:lpwstr>
  </property>
</Properties>
</file>