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omments6.xml" ContentType="application/vnd.openxmlformats-officedocument.spreadsheetml.comments+xml"/>
  <Override PartName="/xl/charts/chart2.xml" ContentType="application/vnd.openxmlformats-officedocument.drawingml.chart+xml"/>
  <Override PartName="/xl/comments7.xml" ContentType="application/vnd.openxmlformats-officedocument.spreadsheetml.comments+xml"/>
  <Override PartName="/xl/comments8.xml" ContentType="application/vnd.openxmlformats-officedocument.spreadsheetml.comments+xml"/>
  <Override PartName="/xl/drawings/drawing4.xml" ContentType="application/vnd.openxmlformats-officedocument.drawing+xml"/>
  <Override PartName="/xl/comments9.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showInkAnnotation="0"/>
  <mc:AlternateContent xmlns:mc="http://schemas.openxmlformats.org/markup-compatibility/2006">
    <mc:Choice Requires="x15">
      <x15ac:absPath xmlns:x15ac="http://schemas.microsoft.com/office/spreadsheetml/2010/11/ac" url="C:\Users\mc\Desktop\"/>
    </mc:Choice>
  </mc:AlternateContent>
  <xr:revisionPtr revIDLastSave="0" documentId="13_ncr:1_{D8A9EE88-A30A-4FD9-AE42-4E3933ECCA23}" xr6:coauthVersionLast="36" xr6:coauthVersionMax="36" xr10:uidLastSave="{00000000-0000-0000-0000-000000000000}"/>
  <workbookProtection workbookAlgorithmName="SHA-512" workbookHashValue="LOqUmrzOMCT6xMtjFx8f1prW6zuIxtdPiDy2hUBNlbuHbpaN9d+SkZAx/OP587c4MayJUB69Y4uJhxG2eji/Qw==" workbookSaltValue="/zkaCRlt4Fqrx25i5KJ7sg==" workbookSpinCount="100000" lockStructure="1"/>
  <bookViews>
    <workbookView xWindow="0" yWindow="0" windowWidth="28800" windowHeight="12075" xr2:uid="{122CE176-DCE8-4C77-98EE-FF4126F30768}"/>
  </bookViews>
  <sheets>
    <sheet name="Info" sheetId="5" r:id="rId1"/>
    <sheet name="MainInput" sheetId="4" r:id="rId2"/>
    <sheet name="Substrates" sheetId="7" r:id="rId3"/>
    <sheet name="Results" sheetId="32" r:id="rId4"/>
    <sheet name="Plant types" sheetId="31" r:id="rId5"/>
    <sheet name="OwnCalculations" sheetId="20" r:id="rId6"/>
    <sheet name="EPD" sheetId="6" r:id="rId7"/>
    <sheet name="SimaPro" sheetId="33" state="hidden" r:id="rId8"/>
    <sheet name="LCIAbg" sheetId="2" state="hidden" r:id="rId9"/>
    <sheet name="InputsBG" sheetId="11" state="hidden" r:id="rId10"/>
    <sheet name="menuesBG" sheetId="1" state="hidden" r:id="rId11"/>
    <sheet name="Prüfwert" sheetId="3" state="hidden" r:id="rId12"/>
    <sheet name="DirekteEmissionen" sheetId="18" state="hidden" r:id="rId13"/>
    <sheet name="ReferenzKombi" sheetId="29" state="hidden" r:id="rId14"/>
    <sheet name="UmweltdeklarationBM" sheetId="14" state="hidden" r:id="rId15"/>
    <sheet name="PrüfungBM" sheetId="13" state="hidden" r:id="rId16"/>
    <sheet name="intro" sheetId="24" state="hidden" r:id="rId17"/>
    <sheet name="X-Exchange" sheetId="28" state="hidden" r:id="rId18"/>
    <sheet name="X-Process" sheetId="25" state="hidden" r:id="rId19"/>
    <sheet name="X-Source" sheetId="26" state="hidden" r:id="rId20"/>
    <sheet name="X-Person" sheetId="27" state="hidden" r:id="rId21"/>
    <sheet name="LCIAbm" sheetId="16" state="hidden" r:id="rId22"/>
    <sheet name="Kompost" sheetId="19" state="hidden" r:id="rId23"/>
    <sheet name="Fischabfälle" sheetId="21" state="hidden" r:id="rId24"/>
    <sheet name="FaktorenBG" sheetId="10" state="hidden" r:id="rId25"/>
    <sheet name="Glyzerin" sheetId="22" state="hidden" r:id="rId26"/>
    <sheet name="menuesBM" sheetId="17" state="hidden" r:id="rId27"/>
    <sheet name="Strommix34" sheetId="23" state="hidden" r:id="rId28"/>
  </sheets>
  <externalReferences>
    <externalReference r:id="rId29"/>
  </externalReferences>
  <definedNames>
    <definedName name="_xlnm._FilterDatabase" localSheetId="9" hidden="1">InputsBG!$A$2:$AF$37</definedName>
    <definedName name="_xlnm._FilterDatabase" localSheetId="22" hidden="1">#REF!</definedName>
    <definedName name="_xlnm._FilterDatabase" localSheetId="1" hidden="1">MainInput!$A$1:$AB$106</definedName>
    <definedName name="_xlnm._FilterDatabase" localSheetId="4" hidden="1">#REF!</definedName>
    <definedName name="_xlnm._FilterDatabase" localSheetId="3" hidden="1">#REF!</definedName>
    <definedName name="_xlnm._FilterDatabase" localSheetId="2" hidden="1">Substrates!$A$2:$BV$157</definedName>
    <definedName name="_xlnm._FilterDatabase" localSheetId="20" hidden="1">'X-Person'!$A$1:$D$8</definedName>
    <definedName name="_xlnm._FilterDatabase" localSheetId="18" hidden="1">'X-Process'!$A$1:$C$49</definedName>
    <definedName name="_xlnm._FilterDatabase" localSheetId="19" hidden="1">'X-Source'!$A$1:$D$15</definedName>
    <definedName name="_xlnm._FilterDatabase" hidden="1">#REF!</definedName>
    <definedName name="_FilterDBbm" localSheetId="4" hidden="1">#REF!</definedName>
    <definedName name="_FilterDBbm" localSheetId="3" hidden="1">#REF!</definedName>
    <definedName name="_FilterDBbm" hidden="1">#REF!</definedName>
    <definedName name="AddOnName">intro!$B$36</definedName>
    <definedName name="Anlagentyp">MainInput!$P$10</definedName>
    <definedName name="Anteil_V_fest">MainInput!$Q$87</definedName>
    <definedName name="Anteil_V_flüssig">MainInput!$Q$94</definedName>
    <definedName name="AnteilKoSubstrat">Substrates!$F$139</definedName>
    <definedName name="AnteilNH3Lagerung">Substrates!$AQ$2</definedName>
    <definedName name="Auswahl_Behandlung_fest">MainInput!$P$86</definedName>
    <definedName name="Auswahl_Behandlung_flüssig">MainInput!$P$93</definedName>
    <definedName name="Auswahl_Verwendung_fest">MainInput!$P$87</definedName>
    <definedName name="Auswahl_Verwendung_flüssig">MainInput!$P$94</definedName>
    <definedName name="Belastung_Substrat">Substrates!$AZ$126</definedName>
    <definedName name="BHKW">MainInput!$P$65</definedName>
    <definedName name="BHKWbm">PrüfungBM!$H$21</definedName>
    <definedName name="CH4_GärgutFestLager_Standard">FaktorenBG!$C$43</definedName>
    <definedName name="CH4_Gehalt">Substrates!$AP$2</definedName>
    <definedName name="CH4_nichtabgedeckt">FaktorenBG!$C$49</definedName>
    <definedName name="CH4inBG">Substrates!$AG$2</definedName>
    <definedName name="CHFGGfest">Kompost!$J$9</definedName>
    <definedName name="CHFGGflüssig">Kompost!$K$9</definedName>
    <definedName name="CHFkompost">Kompost!$I$9</definedName>
    <definedName name="DKKchf">InputsBG!$A$20</definedName>
    <definedName name="_xlnm.Print_Area" localSheetId="6">EPD!$F$2:$R$43</definedName>
    <definedName name="_xlnm.Print_Area" localSheetId="16">intro!$A:$B</definedName>
    <definedName name="_xlnm.Print_Area" localSheetId="1">MainInput!$A$2:$Q$106</definedName>
    <definedName name="_xlnm.Print_Area" localSheetId="15">PrüfungBM!$A$2:$I$33</definedName>
    <definedName name="_xlnm.Print_Area" localSheetId="14">UmweltdeklarationBM!$B$2:$K$31</definedName>
    <definedName name="_xlnm.Print_Area" localSheetId="17">'X-Exchange'!$B:$O</definedName>
    <definedName name="_xlnm.Print_Area" localSheetId="18">'X-Process'!$1:$48</definedName>
    <definedName name="Durchschnitt">InputsBG!$B$39</definedName>
    <definedName name="EinnahmeSubstratEntsorgung">Substrates!$F$131</definedName>
    <definedName name="entry">'X-Person'!$D$2</definedName>
    <definedName name="Euro">InputsBG!$A$11</definedName>
    <definedName name="Faktor_CH4">FaktorenBG!$C$56</definedName>
    <definedName name="Faktor_CH4_flüssig">FaktorenBG!$C$57</definedName>
    <definedName name="Faktor_N2O_Ausbringung">FaktorenBG!$E$72</definedName>
    <definedName name="Faktor_N2O_Behandlung">FaktorenBG!$E$56</definedName>
    <definedName name="Faktor_N2O_GülleBehandlung">FaktorenBG!$E$57</definedName>
    <definedName name="Faktor_N2O_V_fest">FaktorenBG!$E$73</definedName>
    <definedName name="Faktor_N2O_V_flüssig">FaktorenBG!$E$72</definedName>
    <definedName name="Faktor_NH3_Ausbringung">FaktorenBG!$D$72</definedName>
    <definedName name="Faktor_NH3_Behandlung">FaktorenBG!$D$56</definedName>
    <definedName name="Faktor_NH3fest_aus">FaktorenBG!$D$73</definedName>
    <definedName name="FaktorNH3GülleBehandlung">FaktorenBG!$D$57</definedName>
    <definedName name="FaktorTrocknungKS">FaktorenBG!$B$79</definedName>
    <definedName name="Gärgut_fest">MainInput!$P$90</definedName>
    <definedName name="GärrestFestMenge">MainInput!$H$88</definedName>
    <definedName name="GärrestFlüssigMenge">MainInput!$H$95</definedName>
    <definedName name="GärrestTotal">MainInput!$H$100</definedName>
    <definedName name="Gasertrag_berechnet">Substrates!$M$126</definedName>
    <definedName name="GlobalesKriterium">Results!#REF!</definedName>
    <definedName name="GlobalesKriteriumBM">PrüfungBM!$G$32</definedName>
    <definedName name="HUFchf">InputsBG!$A$13</definedName>
    <definedName name="HUFeuro">InputsBG!$A$14</definedName>
    <definedName name="Humus_C">Substrates!$AL$137</definedName>
    <definedName name="MengeKlärschlamm">MainInput!$H$20</definedName>
    <definedName name="MittlererPreis">InputsBG!$B$4</definedName>
    <definedName name="N2O_Gülle">FaktorenBG!$E$49</definedName>
    <definedName name="N2O_Kompost">FaktorenBG!$E$43</definedName>
    <definedName name="name">MainInput!$H$6</definedName>
    <definedName name="nameBM">PrüfungBM!$C$4</definedName>
    <definedName name="names" localSheetId="22">[1]intro!$B$41</definedName>
    <definedName name="names">intro!$B$33</definedName>
    <definedName name="namestest">intro!$B$34</definedName>
    <definedName name="NH3_Lager">FaktorenBG!$D$43</definedName>
    <definedName name="NH3emittiert">Substrates!$AN$2</definedName>
    <definedName name="NH3plus">FaktorenBG!$D$20</definedName>
    <definedName name="NH3plusAusbringung">FaktorenBG!$D$21</definedName>
    <definedName name="Preis_Entsorgung">MainInput!$H$101</definedName>
    <definedName name="Preis_Entsorgung_fest">MainInput!$H$89</definedName>
    <definedName name="Preis_Entsorgung_flüssig">MainInput!$H$96</definedName>
    <definedName name="Preis_EntsorgungBM">PrüfungBM!$E$40</definedName>
    <definedName name="Referenz_CH4_Güllelager">FaktorenBG!$C$50</definedName>
    <definedName name="Referenz_N2O_Gülle">FaktorenBG!$E$50</definedName>
    <definedName name="Referenz_NH3_Gülle">FaktorenBG!$D$50</definedName>
    <definedName name="SheetNames">intro!$B$37</definedName>
    <definedName name="SimaProCED">SimaPro!$D$4</definedName>
    <definedName name="SimaProEI99">SimaPro!$D$2</definedName>
    <definedName name="SimaProGWP">SimaPro!$D$3</definedName>
    <definedName name="SimaProUBP">SimaPro!$D$5</definedName>
    <definedName name="source">'X-Source'!$D$2</definedName>
    <definedName name="SpalteEingaben">MainInput!$H$1</definedName>
    <definedName name="SpalteEnergie">MainInput!$Q$2</definedName>
    <definedName name="sprache">MainInput!$P$8</definedName>
    <definedName name="Standort">MainInput!$P$9</definedName>
    <definedName name="StandortCode">menuesBG!$G$107</definedName>
    <definedName name="TextEPD">menuesBG!$G$6</definedName>
    <definedName name="tkm_lkw">Substrates!$F$129</definedName>
    <definedName name="tkm_outputs">MainInput!$H$102</definedName>
    <definedName name="tkm_traktor">Substrates!$F$128</definedName>
    <definedName name="validator">'X-Person'!$D$2</definedName>
    <definedName name="Währung">MainInput!$Q$9</definedName>
    <definedName name="Warnung">menuesBG!$E$115</definedName>
    <definedName name="Wechselkurs">InputsBG!$A$31</definedName>
    <definedName name="Z_0111E7B5_3E0B_11D4_8303_000102284B93_.wvu.PrintArea" hidden="1">intro!$A:$B</definedName>
    <definedName name="Z_011E7B5_3E0B_11D4_8303_000102284B94" localSheetId="4" hidden="1">#REF!</definedName>
    <definedName name="Z_011E7B5_3E0B_11D4_8303_000102284B94" localSheetId="3" hidden="1">#REF!</definedName>
    <definedName name="Z_011E7B5_3E0B_11D4_8303_000102284B94" hidden="1">#REF!</definedName>
  </definedNames>
  <calcPr calcId="191029"/>
</workbook>
</file>

<file path=xl/calcChain.xml><?xml version="1.0" encoding="utf-8"?>
<calcChain xmlns="http://schemas.openxmlformats.org/spreadsheetml/2006/main">
  <c r="H53" i="4" l="1"/>
  <c r="AF7" i="11" l="1"/>
  <c r="AD7" i="11"/>
  <c r="AA7" i="11"/>
  <c r="Z7" i="11"/>
  <c r="X7" i="11"/>
  <c r="Q7" i="11"/>
  <c r="K7" i="11"/>
  <c r="O59" i="4" l="1"/>
  <c r="AX3" i="7" l="1"/>
  <c r="BT90" i="7"/>
  <c r="BT89" i="7"/>
  <c r="BT88" i="7"/>
  <c r="BT87" i="7"/>
  <c r="BT86" i="7"/>
  <c r="BT85" i="7"/>
  <c r="BT84" i="7"/>
  <c r="BT83" i="7"/>
  <c r="BT82" i="7"/>
  <c r="BT81" i="7"/>
  <c r="BT80" i="7"/>
  <c r="BT79" i="7"/>
  <c r="BT78" i="7"/>
  <c r="BT77" i="7"/>
  <c r="BT76" i="7"/>
  <c r="BT75" i="7"/>
  <c r="BT74" i="7"/>
  <c r="BT73" i="7"/>
  <c r="BT72" i="7"/>
  <c r="BT71" i="7"/>
  <c r="BT70" i="7"/>
  <c r="BT69" i="7"/>
  <c r="BT68" i="7"/>
  <c r="BT67" i="7"/>
  <c r="BT66" i="7"/>
  <c r="BT65" i="7"/>
  <c r="BT64" i="7"/>
  <c r="BT63" i="7"/>
  <c r="BT62" i="7"/>
  <c r="BT61" i="7"/>
  <c r="BT60" i="7"/>
  <c r="BT59" i="7"/>
  <c r="BT58" i="7"/>
  <c r="BT57" i="7"/>
  <c r="BT56" i="7"/>
  <c r="BT55" i="7"/>
  <c r="BT54" i="7"/>
  <c r="BT53" i="7"/>
  <c r="BT52" i="7"/>
  <c r="BT51" i="7"/>
  <c r="BT50" i="7"/>
  <c r="BT49" i="7"/>
  <c r="BT48" i="7"/>
  <c r="BT47" i="7"/>
  <c r="BT46" i="7"/>
  <c r="BT45" i="7"/>
  <c r="BT44" i="7"/>
  <c r="BT43" i="7"/>
  <c r="BT42" i="7"/>
  <c r="BT41" i="7"/>
  <c r="BT40" i="7"/>
  <c r="BT39" i="7"/>
  <c r="BT38" i="7"/>
  <c r="BT37" i="7"/>
  <c r="BT36" i="7"/>
  <c r="BT35" i="7"/>
  <c r="BT34" i="7"/>
  <c r="BT33" i="7"/>
  <c r="BT32" i="7"/>
  <c r="BT31" i="7"/>
  <c r="BT30" i="7"/>
  <c r="BT29" i="7"/>
  <c r="BT28" i="7"/>
  <c r="BT27" i="7"/>
  <c r="BT26" i="7"/>
  <c r="BT25" i="7"/>
  <c r="C31" i="5"/>
  <c r="H8" i="4"/>
  <c r="B46" i="5"/>
  <c r="P8" i="4" l="1"/>
  <c r="C49" i="5"/>
  <c r="C47" i="5"/>
  <c r="C46" i="5"/>
  <c r="C45" i="5"/>
  <c r="C44" i="5"/>
  <c r="C43" i="5"/>
  <c r="C42" i="5"/>
  <c r="C40" i="5"/>
  <c r="C39" i="5"/>
  <c r="C38" i="5"/>
  <c r="C37" i="5"/>
  <c r="C36" i="5"/>
  <c r="B49" i="5"/>
  <c r="B47" i="5"/>
  <c r="B45" i="5"/>
  <c r="B44" i="5"/>
  <c r="B43" i="5"/>
  <c r="B42" i="5"/>
  <c r="B40" i="5"/>
  <c r="B39" i="5"/>
  <c r="B38" i="5"/>
  <c r="B37" i="5"/>
  <c r="B36" i="5"/>
  <c r="B2" i="5"/>
  <c r="C2" i="5"/>
  <c r="A2" i="5"/>
  <c r="D1" i="5" l="1" a="1"/>
  <c r="Q52" i="4"/>
  <c r="G3" i="32"/>
  <c r="D1" i="5" l="1"/>
  <c r="I64" i="4" l="1"/>
  <c r="I72" i="4"/>
  <c r="N48" i="4"/>
  <c r="N46" i="4"/>
  <c r="N44" i="4"/>
  <c r="N41" i="4"/>
  <c r="N40" i="4"/>
  <c r="N31" i="4"/>
  <c r="O60" i="4" l="1"/>
  <c r="I60" i="4" s="1"/>
  <c r="G3" i="4"/>
  <c r="I59" i="4"/>
  <c r="O23" i="4"/>
  <c r="I23" i="4" s="1"/>
  <c r="O6" i="4"/>
  <c r="I6" i="4" s="1"/>
  <c r="O7" i="4"/>
  <c r="I7" i="4" s="1"/>
  <c r="E8" i="32"/>
  <c r="D8" i="32"/>
  <c r="C8" i="32"/>
  <c r="D4" i="33" l="1"/>
  <c r="D5" i="33"/>
  <c r="Y3" i="4" l="1"/>
  <c r="X3" i="4"/>
  <c r="AC3" i="4"/>
  <c r="A11" i="2" l="1"/>
  <c r="A10" i="2"/>
  <c r="Q43" i="4"/>
  <c r="Q42" i="4"/>
  <c r="R41" i="4"/>
  <c r="R46" i="4"/>
  <c r="R45" i="4"/>
  <c r="Q45" i="4" s="1"/>
  <c r="R64" i="4"/>
  <c r="Q64" i="4" s="1"/>
  <c r="R63" i="4"/>
  <c r="R62" i="4" s="1"/>
  <c r="R60" i="4"/>
  <c r="Q60" i="4" s="1"/>
  <c r="R58" i="4"/>
  <c r="R59" i="4" s="1"/>
  <c r="R48" i="4"/>
  <c r="Q48" i="4" s="1"/>
  <c r="R47" i="4"/>
  <c r="Q47" i="4" s="1"/>
  <c r="Q63" i="4" l="1"/>
  <c r="Q46" i="4"/>
  <c r="Q58" i="4"/>
  <c r="Q41" i="4"/>
  <c r="R39" i="4"/>
  <c r="R40" i="4"/>
  <c r="R38" i="4"/>
  <c r="T35" i="4"/>
  <c r="S35" i="4"/>
  <c r="Q38" i="4" l="1"/>
  <c r="Q40" i="4"/>
  <c r="Q39" i="4"/>
  <c r="Q45" i="3"/>
  <c r="R45" i="3"/>
  <c r="S45" i="3"/>
  <c r="V44" i="4"/>
  <c r="V43" i="4"/>
  <c r="H33" i="4" l="1"/>
  <c r="R35" i="4" l="1"/>
  <c r="Q35" i="4"/>
  <c r="Q44" i="4"/>
  <c r="Q34" i="4"/>
  <c r="J44" i="4" l="1"/>
  <c r="J46" i="4"/>
  <c r="J48" i="4"/>
  <c r="Q59" i="4" l="1"/>
  <c r="L96" i="4"/>
  <c r="K96" i="4"/>
  <c r="J96" i="4"/>
  <c r="Q62" i="4" l="1"/>
  <c r="Q67" i="4" s="1"/>
  <c r="D3" i="33"/>
  <c r="F2" i="11"/>
  <c r="G2" i="11"/>
  <c r="H2" i="11"/>
  <c r="I2" i="11"/>
  <c r="J2" i="11"/>
  <c r="K2" i="11"/>
  <c r="L2" i="11"/>
  <c r="M2" i="11"/>
  <c r="N2" i="11"/>
  <c r="O2" i="11"/>
  <c r="P2" i="11"/>
  <c r="Q2" i="11"/>
  <c r="R2" i="11"/>
  <c r="S2" i="11"/>
  <c r="T2" i="11"/>
  <c r="U2" i="11"/>
  <c r="V2" i="11"/>
  <c r="W2" i="11"/>
  <c r="X2" i="11"/>
  <c r="Y2" i="11"/>
  <c r="Z2" i="11"/>
  <c r="AA2" i="11"/>
  <c r="AB2" i="11"/>
  <c r="AC2" i="11"/>
  <c r="AD2" i="11"/>
  <c r="AE2" i="11"/>
  <c r="AF2" i="11"/>
  <c r="E2" i="11"/>
  <c r="D2" i="33"/>
  <c r="F132" i="7"/>
  <c r="F131" i="7"/>
  <c r="F133" i="7"/>
  <c r="F134" i="7"/>
  <c r="O11" i="4"/>
  <c r="I11" i="4" s="1"/>
  <c r="O77" i="4"/>
  <c r="I77" i="4" s="1"/>
  <c r="V3" i="4" l="1"/>
  <c r="AD3" i="4"/>
  <c r="AA3" i="4"/>
  <c r="B5" i="33"/>
  <c r="C5" i="33" s="1"/>
  <c r="B4" i="33"/>
  <c r="C4" i="33" s="1"/>
  <c r="B3" i="33"/>
  <c r="C3" i="33" s="1"/>
  <c r="AB3" i="4"/>
  <c r="W3" i="4"/>
  <c r="AZ1" i="7"/>
  <c r="BA1" i="7" s="1"/>
  <c r="F135" i="7"/>
  <c r="H71" i="4"/>
  <c r="F4" i="33" l="1" a="1"/>
  <c r="F4" i="33" s="1"/>
  <c r="CU4" i="33" a="1"/>
  <c r="CU4" i="33" s="1"/>
  <c r="CL4" i="33" a="1"/>
  <c r="CL4" i="33" s="1"/>
  <c r="BT4" i="33" a="1"/>
  <c r="BT4" i="33" s="1"/>
  <c r="CO4" i="33" a="1"/>
  <c r="CO4" i="33" s="1"/>
  <c r="BG4" i="33" a="1"/>
  <c r="BG4" i="33" s="1"/>
  <c r="CD4" i="33" a="1"/>
  <c r="CD4" i="33" s="1"/>
  <c r="S4" i="33" a="1"/>
  <c r="S4" i="33" s="1"/>
  <c r="BE4" i="33" a="1"/>
  <c r="BE4" i="33" s="1"/>
  <c r="BL4" i="33" a="1"/>
  <c r="BL4" i="33" s="1"/>
  <c r="CV4" i="33" a="1"/>
  <c r="CV4" i="33" s="1"/>
  <c r="J4" i="33" a="1"/>
  <c r="J4" i="33" s="1"/>
  <c r="AU4" i="33" a="1"/>
  <c r="AU4" i="33" s="1"/>
  <c r="BO4" i="33" a="1"/>
  <c r="BO4" i="33" s="1"/>
  <c r="BB4" i="33" a="1"/>
  <c r="BB4" i="33" s="1"/>
  <c r="AZ4" i="33" a="1"/>
  <c r="AZ4" i="33" s="1"/>
  <c r="CG4" i="33" a="1"/>
  <c r="CG4" i="33" s="1"/>
  <c r="V4" i="33" a="1"/>
  <c r="V4" i="33" s="1"/>
  <c r="AI4" i="33" a="1"/>
  <c r="AI4" i="33" s="1"/>
  <c r="BV4" i="33" a="1"/>
  <c r="BV4" i="33" s="1"/>
  <c r="K4" i="33" a="1"/>
  <c r="K4" i="33" s="1"/>
  <c r="AO4" i="33" a="1"/>
  <c r="AO4" i="33" s="1"/>
  <c r="BD4" i="33" a="1"/>
  <c r="BD4" i="33" s="1"/>
  <c r="BH4" i="33" a="1"/>
  <c r="BH4" i="33" s="1"/>
  <c r="AM4" i="33" a="1"/>
  <c r="AM4" i="33" s="1"/>
  <c r="CK4" i="33" a="1"/>
  <c r="CK4" i="33" s="1"/>
  <c r="AT4" i="33" a="1"/>
  <c r="AT4" i="33" s="1"/>
  <c r="M4" i="33" a="1"/>
  <c r="M4" i="33" s="1"/>
  <c r="BY4" i="33" a="1"/>
  <c r="BY4" i="33" s="1"/>
  <c r="N4" i="33" a="1"/>
  <c r="N4" i="33" s="1"/>
  <c r="BQ4" i="33" a="1"/>
  <c r="BQ4" i="33" s="1"/>
  <c r="BZ4" i="33" a="1"/>
  <c r="BZ4" i="33" s="1"/>
  <c r="Z4" i="33" a="1"/>
  <c r="Z4" i="33" s="1"/>
  <c r="Q4" i="33" a="1"/>
  <c r="Q4" i="33" s="1"/>
  <c r="AK4" i="33" a="1"/>
  <c r="AK4" i="33" s="1"/>
  <c r="AW4" i="33" a="1"/>
  <c r="AW4" i="33" s="1"/>
  <c r="AC4" i="33" a="1"/>
  <c r="AC4" i="33" s="1"/>
  <c r="CY4" i="33" a="1"/>
  <c r="CY4" i="33" s="1"/>
  <c r="BS4" i="33" a="1"/>
  <c r="BS4" i="33" s="1"/>
  <c r="AB4" i="33" a="1"/>
  <c r="AB4" i="33" s="1"/>
  <c r="BN4" i="33" a="1"/>
  <c r="BN4" i="33" s="1"/>
  <c r="CF4" i="33" a="1"/>
  <c r="CF4" i="33" s="1"/>
  <c r="R4" i="33" a="1"/>
  <c r="R4" i="33" s="1"/>
  <c r="AV4" i="33" a="1"/>
  <c r="AV4" i="33" s="1"/>
  <c r="U4" i="33" a="1"/>
  <c r="U4" i="33" s="1"/>
  <c r="CQ4" i="33" a="1"/>
  <c r="CQ4" i="33" s="1"/>
  <c r="AF4" i="33" a="1"/>
  <c r="AF4" i="33" s="1"/>
  <c r="CX4" i="33" a="1"/>
  <c r="CX4" i="33" s="1"/>
  <c r="AL4" i="33" a="1"/>
  <c r="AL4" i="33" s="1"/>
  <c r="CE4" i="33" a="1"/>
  <c r="CE4" i="33" s="1"/>
  <c r="CS4" i="33" a="1"/>
  <c r="CS4" i="33" s="1"/>
  <c r="AH4" i="33" a="1"/>
  <c r="AH4" i="33" s="1"/>
  <c r="BK4" i="33" a="1"/>
  <c r="BK4" i="33" s="1"/>
  <c r="G4" i="33" a="1"/>
  <c r="G4" i="33" s="1"/>
  <c r="CC4" i="33" a="1"/>
  <c r="CC4" i="33" s="1"/>
  <c r="BJ4" i="33" a="1"/>
  <c r="BJ4" i="33" s="1"/>
  <c r="T4" i="33" a="1"/>
  <c r="T4" i="33" s="1"/>
  <c r="BF4" i="33" a="1"/>
  <c r="BF4" i="33" s="1"/>
  <c r="AR4" i="33" a="1"/>
  <c r="AR4" i="33" s="1"/>
  <c r="CZ4" i="33" a="1"/>
  <c r="CZ4" i="33" s="1"/>
  <c r="AN4" i="33" a="1"/>
  <c r="AN4" i="33" s="1"/>
  <c r="CM4" i="33" a="1"/>
  <c r="CM4" i="33" s="1"/>
  <c r="CI4" i="33" a="1"/>
  <c r="CI4" i="33" s="1"/>
  <c r="X4" i="33" a="1"/>
  <c r="X4" i="33" s="1"/>
  <c r="CP4" i="33" a="1"/>
  <c r="CP4" i="33" s="1"/>
  <c r="AE4" i="33" a="1"/>
  <c r="AE4" i="33" s="1"/>
  <c r="DA4" i="33" a="1"/>
  <c r="DA4" i="33" s="1"/>
  <c r="BI4" i="33" a="1"/>
  <c r="BI4" i="33" s="1"/>
  <c r="BP4" i="33" a="1"/>
  <c r="BP4" i="33" s="1"/>
  <c r="BW4" i="33" a="1"/>
  <c r="BW4" i="33" s="1"/>
  <c r="Y4" i="33" a="1"/>
  <c r="Y4" i="33" s="1"/>
  <c r="O4" i="33" a="1"/>
  <c r="O4" i="33" s="1"/>
  <c r="AJ4" i="33" a="1"/>
  <c r="AJ4" i="33" s="1"/>
  <c r="AQ4" i="33" a="1"/>
  <c r="AQ4" i="33" s="1"/>
  <c r="BU4" i="33" a="1"/>
  <c r="BU4" i="33" s="1"/>
  <c r="BR4" i="33" a="1"/>
  <c r="BR4" i="33" s="1"/>
  <c r="I4" i="33" a="1"/>
  <c r="I4" i="33" s="1"/>
  <c r="CN4" i="33" a="1"/>
  <c r="CN4" i="33" s="1"/>
  <c r="L4" i="33" a="1"/>
  <c r="L4" i="33" s="1"/>
  <c r="AX4" i="33" a="1"/>
  <c r="AX4" i="33" s="1"/>
  <c r="E4" i="33" a="1"/>
  <c r="E4" i="33" s="1"/>
  <c r="CR4" i="33" a="1"/>
  <c r="CR4" i="33" s="1"/>
  <c r="AG4" i="33" a="1"/>
  <c r="AG4" i="33" s="1"/>
  <c r="AY4" i="33" a="1"/>
  <c r="AY4" i="33" s="1"/>
  <c r="CA4" i="33" a="1"/>
  <c r="CA4" i="33" s="1"/>
  <c r="P4" i="33" a="1"/>
  <c r="P4" i="33" s="1"/>
  <c r="CH4" i="33" a="1"/>
  <c r="CH4" i="33" s="1"/>
  <c r="W4" i="33" a="1"/>
  <c r="W4" i="33" s="1"/>
  <c r="BM4" i="33" a="1"/>
  <c r="BM4" i="33" s="1"/>
  <c r="BA4" i="33" a="1"/>
  <c r="BA4" i="33" s="1"/>
  <c r="DB4" i="33" a="1"/>
  <c r="DB4" i="33" s="1"/>
  <c r="AP4" i="33" a="1"/>
  <c r="AP4" i="33" s="1"/>
  <c r="CJ4" i="33" a="1"/>
  <c r="CJ4" i="33" s="1"/>
  <c r="H4" i="33" a="1"/>
  <c r="H4" i="33" s="1"/>
  <c r="AS4" i="33" a="1"/>
  <c r="AS4" i="33" s="1"/>
  <c r="CT4" i="33" a="1"/>
  <c r="CT4" i="33" s="1"/>
  <c r="CB4" i="33" a="1"/>
  <c r="CB4" i="33" s="1"/>
  <c r="BX4" i="33" a="1"/>
  <c r="BX4" i="33" s="1"/>
  <c r="CW4" i="33" a="1"/>
  <c r="CW4" i="33" s="1"/>
  <c r="AA4" i="33" a="1"/>
  <c r="AA4" i="33" s="1"/>
  <c r="BC4" i="33" a="1"/>
  <c r="BC4" i="33" s="1"/>
  <c r="AD4" i="33" a="1"/>
  <c r="AD4" i="33" s="1"/>
  <c r="DB3" i="33" a="1"/>
  <c r="DB3" i="33" s="1"/>
  <c r="BT3" i="33" a="1"/>
  <c r="BT3" i="33" s="1"/>
  <c r="AD3" i="33" a="1"/>
  <c r="AD3" i="33" s="1"/>
  <c r="CJ3" i="33" a="1"/>
  <c r="CJ3" i="33" s="1"/>
  <c r="BO3" i="33" a="1"/>
  <c r="BO3" i="33" s="1"/>
  <c r="AF3" i="33" a="1"/>
  <c r="AF3" i="33" s="1"/>
  <c r="CL3" i="33" a="1"/>
  <c r="CL3" i="33" s="1"/>
  <c r="BB3" i="33" a="1"/>
  <c r="BB3" i="33" s="1"/>
  <c r="Z3" i="33" a="1"/>
  <c r="Z3" i="33" s="1"/>
  <c r="CF3" i="33" a="1"/>
  <c r="CF3" i="33" s="1"/>
  <c r="AW3" i="33" a="1"/>
  <c r="AW3" i="33" s="1"/>
  <c r="G3" i="33" a="1"/>
  <c r="G3" i="33" s="1"/>
  <c r="BL3" i="33" a="1"/>
  <c r="BL3" i="33" s="1"/>
  <c r="CN3" i="33" a="1"/>
  <c r="CN3" i="33" s="1"/>
  <c r="BS3" i="33" a="1"/>
  <c r="BS3" i="33" s="1"/>
  <c r="CW3" i="33" a="1"/>
  <c r="CW3" i="33" s="1"/>
  <c r="CX3" i="33" a="1"/>
  <c r="CX3" i="33" s="1"/>
  <c r="F3" i="33" a="1"/>
  <c r="F3" i="33" s="1"/>
  <c r="AJ3" i="33" a="1"/>
  <c r="AJ3" i="33" s="1"/>
  <c r="CZ3" i="33" a="1"/>
  <c r="CZ3" i="33" s="1"/>
  <c r="AX3" i="33" a="1"/>
  <c r="AX3" i="33" s="1"/>
  <c r="BM3" i="33" a="1"/>
  <c r="BM3" i="33" s="1"/>
  <c r="CB3" i="33" a="1"/>
  <c r="CB3" i="33" s="1"/>
  <c r="CD3" i="33" a="1"/>
  <c r="CD3" i="33" s="1"/>
  <c r="BX3" i="33" a="1"/>
  <c r="BX3" i="33" s="1"/>
  <c r="H3" i="33" a="1"/>
  <c r="H3" i="33" s="1"/>
  <c r="CA3" i="33" a="1"/>
  <c r="CA3" i="33" s="1"/>
  <c r="AK3" i="33" a="1"/>
  <c r="AK3" i="33" s="1"/>
  <c r="CQ3" i="33" a="1"/>
  <c r="CQ3" i="33" s="1"/>
  <c r="CC3" i="33" a="1"/>
  <c r="CC3" i="33" s="1"/>
  <c r="AM3" i="33" a="1"/>
  <c r="AM3" i="33" s="1"/>
  <c r="CS3" i="33" a="1"/>
  <c r="CS3" i="33" s="1"/>
  <c r="BI3" i="33" a="1"/>
  <c r="BI3" i="33" s="1"/>
  <c r="AH3" i="33" a="1"/>
  <c r="AH3" i="33" s="1"/>
  <c r="BD3" i="33" a="1"/>
  <c r="BD3" i="33" s="1"/>
  <c r="N3" i="33" a="1"/>
  <c r="N3" i="33" s="1"/>
  <c r="AC3" i="33" a="1"/>
  <c r="AC3" i="33" s="1"/>
  <c r="BF3" i="33" a="1"/>
  <c r="BF3" i="33" s="1"/>
  <c r="AE3" i="33" a="1"/>
  <c r="AE3" i="33" s="1"/>
  <c r="BH3" i="33" a="1"/>
  <c r="BH3" i="33" s="1"/>
  <c r="BC3" i="33" a="1"/>
  <c r="BC3" i="33" s="1"/>
  <c r="BY3" i="33" a="1"/>
  <c r="BY3" i="33" s="1"/>
  <c r="CV3" i="33" a="1"/>
  <c r="CV3" i="33" s="1"/>
  <c r="BN3" i="33" a="1"/>
  <c r="BN3" i="33" s="1"/>
  <c r="AG3" i="33" a="1"/>
  <c r="AG3" i="33" s="1"/>
  <c r="M3" i="33" a="1"/>
  <c r="M3" i="33" s="1"/>
  <c r="Y3" i="33" a="1"/>
  <c r="Y3" i="33" s="1"/>
  <c r="CU3" i="33" a="1"/>
  <c r="CU3" i="33" s="1"/>
  <c r="O3" i="33" a="1"/>
  <c r="O3" i="33" s="1"/>
  <c r="CI3" i="33" a="1"/>
  <c r="CI3" i="33" s="1"/>
  <c r="AR3" i="33" a="1"/>
  <c r="AR3" i="33" s="1"/>
  <c r="Q3" i="33" a="1"/>
  <c r="Q3" i="33" s="1"/>
  <c r="CK3" i="33" a="1"/>
  <c r="CK3" i="33" s="1"/>
  <c r="AT3" i="33" a="1"/>
  <c r="AT3" i="33" s="1"/>
  <c r="CY3" i="33" a="1"/>
  <c r="CY3" i="33" s="1"/>
  <c r="BW3" i="33" a="1"/>
  <c r="BW3" i="33" s="1"/>
  <c r="AO3" i="33" a="1"/>
  <c r="AO3" i="33" s="1"/>
  <c r="CT3" i="33" a="1"/>
  <c r="CT3" i="33" s="1"/>
  <c r="BK3" i="33" a="1"/>
  <c r="BK3" i="33" s="1"/>
  <c r="U3" i="33" a="1"/>
  <c r="U3" i="33" s="1"/>
  <c r="BZ3" i="33" a="1"/>
  <c r="BZ3" i="33" s="1"/>
  <c r="CH3" i="33" a="1"/>
  <c r="CH3" i="33" s="1"/>
  <c r="CM3" i="33" a="1"/>
  <c r="CM3" i="33" s="1"/>
  <c r="I3" i="33" a="1"/>
  <c r="I3" i="33" s="1"/>
  <c r="J3" i="33" a="1"/>
  <c r="J3" i="33" s="1"/>
  <c r="BJ3" i="33" a="1"/>
  <c r="BJ3" i="33" s="1"/>
  <c r="AP3" i="33" a="1"/>
  <c r="AP3" i="33" s="1"/>
  <c r="AU3" i="33" a="1"/>
  <c r="AU3" i="33" s="1"/>
  <c r="V3" i="33" a="1"/>
  <c r="V3" i="33" s="1"/>
  <c r="CP3" i="33" a="1"/>
  <c r="CP3" i="33" s="1"/>
  <c r="AZ3" i="33" a="1"/>
  <c r="AZ3" i="33" s="1"/>
  <c r="X3" i="33" a="1"/>
  <c r="X3" i="33" s="1"/>
  <c r="CR3" i="33" a="1"/>
  <c r="CR3" i="33" s="1"/>
  <c r="BA3" i="33" a="1"/>
  <c r="BA3" i="33" s="1"/>
  <c r="K3" i="33" a="1"/>
  <c r="K3" i="33" s="1"/>
  <c r="CE3" i="33" a="1"/>
  <c r="CE3" i="33" s="1"/>
  <c r="AV3" i="33" a="1"/>
  <c r="AV3" i="33" s="1"/>
  <c r="DA3" i="33" a="1"/>
  <c r="DA3" i="33" s="1"/>
  <c r="BR3" i="33" a="1"/>
  <c r="BR3" i="33" s="1"/>
  <c r="AB3" i="33" a="1"/>
  <c r="AB3" i="33" s="1"/>
  <c r="S3" i="33" a="1"/>
  <c r="S3" i="33" s="1"/>
  <c r="AQ3" i="33" a="1"/>
  <c r="AQ3" i="33" s="1"/>
  <c r="AL3" i="33" a="1"/>
  <c r="AL3" i="33" s="1"/>
  <c r="BP3" i="33" a="1"/>
  <c r="BP3" i="33" s="1"/>
  <c r="CG3" i="33" a="1"/>
  <c r="CG3" i="33" s="1"/>
  <c r="W3" i="33" a="1"/>
  <c r="W3" i="33" s="1"/>
  <c r="BG3" i="33" a="1"/>
  <c r="BG3" i="33" s="1"/>
  <c r="T3" i="33" a="1"/>
  <c r="T3" i="33" s="1"/>
  <c r="BE3" i="33" a="1"/>
  <c r="BE3" i="33" s="1"/>
  <c r="AY3" i="33" a="1"/>
  <c r="AY3" i="33" s="1"/>
  <c r="P3" i="33" a="1"/>
  <c r="P3" i="33" s="1"/>
  <c r="BU3" i="33" a="1"/>
  <c r="BU3" i="33" s="1"/>
  <c r="AS3" i="33" a="1"/>
  <c r="AS3" i="33" s="1"/>
  <c r="R3" i="33" a="1"/>
  <c r="R3" i="33" s="1"/>
  <c r="BV3" i="33" a="1"/>
  <c r="BV3" i="33" s="1"/>
  <c r="AN3" i="33" a="1"/>
  <c r="AN3" i="33" s="1"/>
  <c r="L3" i="33" a="1"/>
  <c r="L3" i="33" s="1"/>
  <c r="BQ3" i="33" a="1"/>
  <c r="BQ3" i="33" s="1"/>
  <c r="AA3" i="33" a="1"/>
  <c r="AA3" i="33" s="1"/>
  <c r="CO3" i="33" a="1"/>
  <c r="CO3" i="33" s="1"/>
  <c r="AI3" i="33" a="1"/>
  <c r="AI3" i="33" s="1"/>
  <c r="BB1" i="7"/>
  <c r="BC1" i="7" l="1"/>
  <c r="J4" i="3"/>
  <c r="I4" i="3"/>
  <c r="M5" i="3" l="1"/>
  <c r="L6" i="3"/>
  <c r="K6" i="3"/>
  <c r="L4" i="2"/>
  <c r="K4" i="2"/>
  <c r="J4" i="2"/>
  <c r="G4" i="2"/>
  <c r="K7" i="3" l="1"/>
  <c r="A11" i="4" l="1"/>
  <c r="D1" i="2" s="1"/>
  <c r="H1" i="4"/>
  <c r="J40" i="4"/>
  <c r="Q31" i="4"/>
  <c r="Q30" i="4"/>
  <c r="D3" i="2" l="1" a="1"/>
  <c r="D3" i="2" s="1"/>
  <c r="E1" i="2"/>
  <c r="E3" i="2" s="1" a="1"/>
  <c r="E3" i="2" s="1"/>
  <c r="C4" i="3" a="1"/>
  <c r="C4" i="3" s="1"/>
  <c r="F4" i="3" a="1"/>
  <c r="F4" i="3" s="1"/>
  <c r="D4" i="3" a="1"/>
  <c r="D4" i="3" s="1"/>
  <c r="C1" i="2"/>
  <c r="C3" i="2" s="1" a="1"/>
  <c r="C3" i="2" s="1"/>
  <c r="S5" i="3" l="1"/>
  <c r="H101" i="4"/>
  <c r="J31" i="4"/>
  <c r="J30" i="4"/>
  <c r="H28" i="4" l="1"/>
  <c r="H37" i="4"/>
  <c r="G26" i="32"/>
  <c r="R50" i="4" l="1"/>
  <c r="H52" i="4"/>
  <c r="Q2" i="4" l="1"/>
  <c r="AE52" i="7" l="1"/>
  <c r="AD52" i="7"/>
  <c r="AA52" i="7"/>
  <c r="Z52" i="7"/>
  <c r="AI52" i="7"/>
  <c r="V52" i="7"/>
  <c r="S52" i="7"/>
  <c r="AW52" i="7"/>
  <c r="AF23" i="11"/>
  <c r="AF12" i="11"/>
  <c r="AF5" i="11"/>
  <c r="AF29" i="11" l="1"/>
  <c r="Y52" i="7"/>
  <c r="AC52" i="7" s="1"/>
  <c r="L52" i="7"/>
  <c r="AL52" i="7" s="1"/>
  <c r="E12" i="31" l="1"/>
  <c r="H10" i="31"/>
  <c r="AD8" i="11" l="1"/>
  <c r="AD6" i="11" s="1"/>
  <c r="E29" i="11" l="1"/>
  <c r="K29" i="11"/>
  <c r="AD29" i="11"/>
  <c r="H29" i="11"/>
  <c r="AC29" i="11"/>
  <c r="N29" i="11"/>
  <c r="Z29" i="11"/>
  <c r="Y29" i="11"/>
  <c r="V29" i="11"/>
  <c r="Q29" i="11"/>
  <c r="M29" i="11"/>
  <c r="J29" i="11"/>
  <c r="AB29" i="11"/>
  <c r="X29" i="11"/>
  <c r="P29" i="11"/>
  <c r="AE29" i="11"/>
  <c r="AA29" i="11"/>
  <c r="W29" i="11"/>
  <c r="O29" i="11"/>
  <c r="B27" i="11" l="1"/>
  <c r="AE28" i="11"/>
  <c r="AD28" i="11"/>
  <c r="AC28" i="11"/>
  <c r="Z28" i="11"/>
  <c r="Y28" i="11"/>
  <c r="X28" i="11"/>
  <c r="W28" i="11"/>
  <c r="V28" i="11"/>
  <c r="U28" i="11"/>
  <c r="U29" i="11" s="1"/>
  <c r="T28" i="11"/>
  <c r="T29" i="11" s="1"/>
  <c r="S28" i="11"/>
  <c r="S29" i="11" s="1"/>
  <c r="P28" i="11"/>
  <c r="O28" i="11"/>
  <c r="N28" i="11"/>
  <c r="M28" i="11"/>
  <c r="L28" i="11"/>
  <c r="L29" i="11" s="1"/>
  <c r="K28" i="11"/>
  <c r="J28" i="11"/>
  <c r="I28" i="11"/>
  <c r="I29" i="11" s="1"/>
  <c r="G28" i="11"/>
  <c r="G29" i="11" s="1"/>
  <c r="E28" i="11"/>
  <c r="H67" i="4" l="1"/>
  <c r="B59" i="11" l="1"/>
  <c r="B53" i="11"/>
  <c r="B47" i="11"/>
  <c r="B41" i="11"/>
  <c r="A41" i="11"/>
  <c r="R66" i="4" l="1"/>
  <c r="H79" i="4"/>
  <c r="Q72" i="4"/>
  <c r="Q73" i="4"/>
  <c r="Q76" i="4"/>
  <c r="Q78" i="4"/>
  <c r="Q70" i="4"/>
  <c r="O79" i="4" l="1"/>
  <c r="I79" i="4" s="1"/>
  <c r="O73" i="4"/>
  <c r="I73" i="4" s="1"/>
  <c r="H20" i="32"/>
  <c r="H22" i="32"/>
  <c r="H21" i="32"/>
  <c r="O66" i="4"/>
  <c r="I66" i="4" s="1"/>
  <c r="Q79" i="4"/>
  <c r="E4" i="3" a="1"/>
  <c r="E4" i="3" s="1"/>
  <c r="P70" i="4"/>
  <c r="H81" i="4" l="1"/>
  <c r="F113" i="1" l="1"/>
  <c r="AB2" i="4"/>
  <c r="V2" i="4"/>
  <c r="W2" i="4"/>
  <c r="AA2" i="4"/>
  <c r="Y2" i="4"/>
  <c r="AD2" i="4"/>
  <c r="X2" i="4"/>
  <c r="AC2" i="4"/>
  <c r="F24" i="7"/>
  <c r="D1" i="1" a="1"/>
  <c r="M1" i="4" a="1"/>
  <c r="E129" i="7"/>
  <c r="E128" i="7"/>
  <c r="E2" i="6" a="1"/>
  <c r="E7" i="7"/>
  <c r="E132" i="7"/>
  <c r="E134" i="7"/>
  <c r="E139" i="7"/>
  <c r="E131" i="7"/>
  <c r="E138" i="7"/>
  <c r="E130" i="7"/>
  <c r="E133" i="7"/>
  <c r="E137" i="7"/>
  <c r="E140" i="7"/>
  <c r="E1" i="4" a="1"/>
  <c r="F1" i="32" a="1"/>
  <c r="E52" i="7"/>
  <c r="F112" i="1"/>
  <c r="F86" i="1"/>
  <c r="Q29" i="4"/>
  <c r="E2" i="6" l="1"/>
  <c r="M1" i="4"/>
  <c r="D1" i="1"/>
  <c r="E1" i="4"/>
  <c r="F1" i="32"/>
  <c r="Q81" i="4"/>
  <c r="C79" i="10" l="1"/>
  <c r="P80" i="4" l="1"/>
  <c r="O67" i="4"/>
  <c r="I67" i="4" s="1"/>
  <c r="M15" i="2"/>
  <c r="H20" i="4" l="1"/>
  <c r="L5" i="3" s="1"/>
  <c r="V124" i="7"/>
  <c r="BD121" i="7"/>
  <c r="R120" i="7"/>
  <c r="BD119" i="7"/>
  <c r="BD118" i="7"/>
  <c r="E121" i="7"/>
  <c r="E120" i="7"/>
  <c r="E119" i="7"/>
  <c r="R118" i="7"/>
  <c r="E118" i="7"/>
  <c r="E117" i="7"/>
  <c r="G21" i="4" s="1"/>
  <c r="L2" i="2"/>
  <c r="H21" i="4" l="1"/>
  <c r="BD120" i="7"/>
  <c r="R121" i="7"/>
  <c r="R119" i="7"/>
  <c r="N2" i="3" l="1"/>
  <c r="BD123" i="7"/>
  <c r="E123" i="7"/>
  <c r="G22" i="4" s="1"/>
  <c r="H17" i="4" l="1"/>
  <c r="E92" i="7"/>
  <c r="G17" i="4" s="1"/>
  <c r="H22" i="4" l="1"/>
  <c r="N5" i="3" l="1"/>
  <c r="N8" i="3" s="1"/>
  <c r="AD124" i="7"/>
  <c r="Z124" i="7"/>
  <c r="AA124" i="7" s="1"/>
  <c r="AW111" i="7" l="1"/>
  <c r="AK111" i="7"/>
  <c r="AF111" i="7"/>
  <c r="AE111" i="7"/>
  <c r="AD111" i="7"/>
  <c r="AA111" i="7"/>
  <c r="Z111" i="7"/>
  <c r="M111" i="7"/>
  <c r="L111" i="7"/>
  <c r="R111" i="7"/>
  <c r="E111" i="7"/>
  <c r="Y111" i="7" l="1"/>
  <c r="AC111" i="7" s="1"/>
  <c r="E41" i="7"/>
  <c r="G6" i="1" l="1"/>
  <c r="F5" i="1"/>
  <c r="V94" i="28" l="1"/>
  <c r="I94" i="28"/>
  <c r="H94" i="28"/>
  <c r="G94" i="28"/>
  <c r="K94" i="28"/>
  <c r="AJ94" i="28"/>
  <c r="AL94" i="28"/>
  <c r="AH94" i="28"/>
  <c r="AK94" i="28"/>
  <c r="J94" i="28"/>
  <c r="AC94" i="28"/>
  <c r="AI94" i="28"/>
  <c r="F94" i="28"/>
  <c r="AE94" i="28" l="1"/>
  <c r="AD94" i="28"/>
  <c r="AG94" i="28" l="1"/>
  <c r="AF94" i="28"/>
  <c r="R94" i="28" l="1"/>
  <c r="N94" i="28"/>
  <c r="O94" i="28"/>
  <c r="S94" i="28"/>
  <c r="T28" i="28" l="1"/>
  <c r="T27" i="28"/>
  <c r="T26" i="28"/>
  <c r="T25" i="28"/>
  <c r="V108" i="28"/>
  <c r="I108" i="28"/>
  <c r="H108" i="28"/>
  <c r="AJ108" i="28"/>
  <c r="AH108" i="28"/>
  <c r="J108" i="28"/>
  <c r="K108" i="28"/>
  <c r="AI108" i="28"/>
  <c r="AC108" i="28"/>
  <c r="F108" i="28"/>
  <c r="AK108" i="28"/>
  <c r="AL108" i="28"/>
  <c r="G108" i="28"/>
  <c r="AE108" i="28" l="1"/>
  <c r="L59" i="28"/>
  <c r="L60" i="28"/>
  <c r="L61" i="28"/>
  <c r="L62" i="28"/>
  <c r="BD124" i="7"/>
  <c r="BD115" i="7"/>
  <c r="L58" i="28"/>
  <c r="E126" i="7"/>
  <c r="E115" i="7"/>
  <c r="E114" i="7"/>
  <c r="E113" i="7"/>
  <c r="E112" i="7"/>
  <c r="E124" i="7"/>
  <c r="E110" i="7"/>
  <c r="E108" i="7"/>
  <c r="E97" i="7"/>
  <c r="E96" i="7"/>
  <c r="E95" i="7"/>
  <c r="E94" i="7"/>
  <c r="E93" i="7"/>
  <c r="E107" i="7"/>
  <c r="E106" i="7"/>
  <c r="G19" i="4" s="1"/>
  <c r="E104" i="7"/>
  <c r="E103" i="7"/>
  <c r="E102" i="7"/>
  <c r="E101" i="7"/>
  <c r="E100" i="7"/>
  <c r="E99"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1" i="7"/>
  <c r="E50" i="7"/>
  <c r="E49" i="7"/>
  <c r="E48" i="7"/>
  <c r="E47" i="7"/>
  <c r="E46" i="7"/>
  <c r="E45" i="7"/>
  <c r="E44" i="7"/>
  <c r="E43" i="7"/>
  <c r="E42" i="7"/>
  <c r="E40" i="7"/>
  <c r="E39" i="7"/>
  <c r="E38" i="7"/>
  <c r="E37" i="7"/>
  <c r="E36" i="7"/>
  <c r="E35" i="7"/>
  <c r="E34" i="7"/>
  <c r="E33" i="7"/>
  <c r="E32" i="7"/>
  <c r="E31" i="7"/>
  <c r="E30" i="7"/>
  <c r="E29" i="7"/>
  <c r="E28" i="7"/>
  <c r="E27" i="7"/>
  <c r="E26" i="7"/>
  <c r="E25" i="7"/>
  <c r="E24" i="7"/>
  <c r="G16" i="4" s="1"/>
  <c r="E22" i="7"/>
  <c r="E21" i="7"/>
  <c r="E20" i="7"/>
  <c r="E19" i="7"/>
  <c r="E18" i="7"/>
  <c r="E17" i="7"/>
  <c r="E16" i="7"/>
  <c r="E15" i="7"/>
  <c r="E14" i="7"/>
  <c r="E13" i="7"/>
  <c r="E12" i="7"/>
  <c r="E11" i="7"/>
  <c r="E10" i="7"/>
  <c r="E9" i="7"/>
  <c r="E8" i="7"/>
  <c r="E6" i="7"/>
  <c r="E4" i="7"/>
  <c r="AD108" i="28"/>
  <c r="AG108" i="28" l="1"/>
  <c r="AF108" i="28"/>
  <c r="V106" i="28"/>
  <c r="V105" i="28"/>
  <c r="V104" i="28"/>
  <c r="V103" i="28"/>
  <c r="V102" i="28"/>
  <c r="V101" i="28"/>
  <c r="V100" i="28"/>
  <c r="V99" i="28"/>
  <c r="V98" i="28"/>
  <c r="V97" i="28"/>
  <c r="V96" i="28"/>
  <c r="V95" i="28"/>
  <c r="V93" i="28"/>
  <c r="V92" i="28"/>
  <c r="V91" i="28"/>
  <c r="V90" i="28"/>
  <c r="V89" i="28"/>
  <c r="V88" i="28"/>
  <c r="V87" i="28"/>
  <c r="V86" i="28"/>
  <c r="V85" i="28"/>
  <c r="V84" i="28"/>
  <c r="V83" i="28"/>
  <c r="V82" i="28"/>
  <c r="V81" i="28"/>
  <c r="V80" i="28"/>
  <c r="V79" i="28"/>
  <c r="V78" i="28"/>
  <c r="V77" i="28"/>
  <c r="V76" i="28"/>
  <c r="V75" i="28"/>
  <c r="V74" i="28"/>
  <c r="V73" i="28"/>
  <c r="V72" i="28"/>
  <c r="V71" i="28"/>
  <c r="V70" i="28"/>
  <c r="V69" i="28"/>
  <c r="V68" i="28"/>
  <c r="V67" i="28"/>
  <c r="V66" i="28"/>
  <c r="V65" i="28"/>
  <c r="V64" i="28"/>
  <c r="V63" i="28"/>
  <c r="V62" i="28"/>
  <c r="V61" i="28"/>
  <c r="V60" i="28"/>
  <c r="V59" i="28"/>
  <c r="V58" i="28"/>
  <c r="V57" i="28"/>
  <c r="V56" i="28"/>
  <c r="V55" i="28"/>
  <c r="V54" i="28"/>
  <c r="V53" i="28"/>
  <c r="V52" i="28"/>
  <c r="V51" i="28"/>
  <c r="V50" i="28"/>
  <c r="V49" i="28"/>
  <c r="V48" i="28"/>
  <c r="V47" i="28"/>
  <c r="V46" i="28"/>
  <c r="V45" i="28"/>
  <c r="V44" i="28"/>
  <c r="V43" i="28"/>
  <c r="V42" i="28"/>
  <c r="V41" i="28"/>
  <c r="V40" i="28"/>
  <c r="V39" i="28"/>
  <c r="V38" i="28"/>
  <c r="V37" i="28"/>
  <c r="V36" i="28"/>
  <c r="V35" i="28"/>
  <c r="V34" i="28"/>
  <c r="V33" i="28"/>
  <c r="V32" i="28"/>
  <c r="V31" i="28"/>
  <c r="V30" i="28"/>
  <c r="V29" i="28"/>
  <c r="V28" i="28"/>
  <c r="V27" i="28"/>
  <c r="V26" i="28"/>
  <c r="V25" i="28"/>
  <c r="V24" i="28"/>
  <c r="V23" i="28"/>
  <c r="V22" i="28"/>
  <c r="V21" i="28"/>
  <c r="V20" i="28"/>
  <c r="V19" i="28"/>
  <c r="V18" i="28"/>
  <c r="V17" i="28"/>
  <c r="V16" i="28"/>
  <c r="V15" i="28"/>
  <c r="V14" i="28"/>
  <c r="V13" i="28"/>
  <c r="V12" i="28"/>
  <c r="V11" i="28"/>
  <c r="V10" i="28"/>
  <c r="S108" i="28" l="1"/>
  <c r="O108" i="28"/>
  <c r="R108" i="28"/>
  <c r="N108" i="28"/>
  <c r="H16" i="4"/>
  <c r="K4" i="3" s="1" a="1"/>
  <c r="K4" i="3" s="1"/>
  <c r="BH8" i="7"/>
  <c r="BK8" i="7"/>
  <c r="P95" i="4" l="1"/>
  <c r="P75" i="28"/>
  <c r="P82" i="28"/>
  <c r="P83" i="28"/>
  <c r="P84" i="28"/>
  <c r="I106" i="28" l="1"/>
  <c r="H106" i="28"/>
  <c r="I105" i="28"/>
  <c r="H105" i="28"/>
  <c r="I104" i="28"/>
  <c r="H104" i="28"/>
  <c r="I103" i="28"/>
  <c r="H103" i="28"/>
  <c r="I102" i="28"/>
  <c r="H102" i="28"/>
  <c r="I101" i="28"/>
  <c r="H101" i="28"/>
  <c r="I100" i="28"/>
  <c r="H100" i="28"/>
  <c r="I99" i="28"/>
  <c r="H99" i="28"/>
  <c r="I98" i="28"/>
  <c r="H98" i="28"/>
  <c r="I97" i="28"/>
  <c r="H97" i="28"/>
  <c r="I96" i="28"/>
  <c r="H96" i="28"/>
  <c r="I95" i="28"/>
  <c r="H95" i="28"/>
  <c r="I93" i="28"/>
  <c r="H93" i="28"/>
  <c r="I92" i="28"/>
  <c r="H92" i="28"/>
  <c r="I91" i="28"/>
  <c r="H91" i="28"/>
  <c r="I90" i="28"/>
  <c r="H90" i="28"/>
  <c r="I89" i="28"/>
  <c r="H89" i="28"/>
  <c r="I88" i="28"/>
  <c r="H88" i="28"/>
  <c r="I86" i="28"/>
  <c r="H86" i="28"/>
  <c r="I85" i="28"/>
  <c r="H85" i="28"/>
  <c r="B94" i="28" l="1"/>
  <c r="B98" i="28"/>
  <c r="B102" i="28"/>
  <c r="B106" i="28"/>
  <c r="B99" i="28"/>
  <c r="B97" i="28"/>
  <c r="B96" i="28"/>
  <c r="B100" i="28"/>
  <c r="B93" i="28"/>
  <c r="B105" i="28"/>
  <c r="B89" i="28"/>
  <c r="B104" i="28"/>
  <c r="B90" i="28"/>
  <c r="B101" i="28"/>
  <c r="B95" i="28"/>
  <c r="B86" i="28"/>
  <c r="B91" i="28"/>
  <c r="B92" i="28"/>
  <c r="B103" i="28"/>
  <c r="I87" i="28" l="1"/>
  <c r="H87" i="28"/>
  <c r="E28" i="25"/>
  <c r="D28" i="25"/>
  <c r="E27" i="25"/>
  <c r="D27" i="25"/>
  <c r="E23" i="25"/>
  <c r="E4" i="25"/>
  <c r="E5" i="25"/>
  <c r="D5" i="25"/>
  <c r="D4" i="25"/>
  <c r="L3" i="28"/>
  <c r="D2" i="25" s="1"/>
  <c r="P3" i="28"/>
  <c r="F8" i="28" s="1"/>
  <c r="B88" i="28" l="1"/>
  <c r="B87" i="28"/>
  <c r="F7" i="28"/>
  <c r="E2" i="25"/>
  <c r="I84" i="28" l="1"/>
  <c r="H84" i="28"/>
  <c r="I83" i="28"/>
  <c r="H83" i="28"/>
  <c r="I82" i="28"/>
  <c r="H82" i="28"/>
  <c r="I81" i="28"/>
  <c r="H81" i="28"/>
  <c r="I80" i="28"/>
  <c r="H80" i="28"/>
  <c r="I79" i="28"/>
  <c r="H79" i="28"/>
  <c r="I78" i="28"/>
  <c r="H78" i="28"/>
  <c r="I77" i="28"/>
  <c r="H77" i="28"/>
  <c r="I76" i="28"/>
  <c r="H76" i="28"/>
  <c r="I75" i="28"/>
  <c r="H75" i="28"/>
  <c r="I74" i="28"/>
  <c r="H74" i="28"/>
  <c r="I73" i="28"/>
  <c r="H73" i="28"/>
  <c r="I72" i="28"/>
  <c r="H72" i="28"/>
  <c r="I71" i="28"/>
  <c r="H71" i="28"/>
  <c r="I70" i="28"/>
  <c r="H70" i="28"/>
  <c r="I69" i="28"/>
  <c r="H69" i="28"/>
  <c r="I68" i="28"/>
  <c r="H68" i="28"/>
  <c r="I67" i="28"/>
  <c r="H67" i="28"/>
  <c r="I66" i="28"/>
  <c r="H66" i="28"/>
  <c r="I65" i="28"/>
  <c r="H65" i="28"/>
  <c r="I64" i="28"/>
  <c r="H64" i="28"/>
  <c r="I63" i="28"/>
  <c r="H63" i="28"/>
  <c r="I62" i="28"/>
  <c r="H62" i="28"/>
  <c r="I61" i="28"/>
  <c r="H61" i="28"/>
  <c r="I60" i="28"/>
  <c r="H60" i="28"/>
  <c r="I59" i="28"/>
  <c r="H59" i="28"/>
  <c r="I58" i="28"/>
  <c r="H58" i="28"/>
  <c r="I57" i="28"/>
  <c r="H57" i="28"/>
  <c r="I56" i="28"/>
  <c r="H56" i="28"/>
  <c r="I55" i="28"/>
  <c r="H55" i="28"/>
  <c r="I54" i="28"/>
  <c r="H54" i="28"/>
  <c r="I53" i="28"/>
  <c r="H53" i="28"/>
  <c r="I52" i="28"/>
  <c r="H52" i="28"/>
  <c r="I51" i="28"/>
  <c r="H51" i="28"/>
  <c r="I50" i="28"/>
  <c r="H50" i="28"/>
  <c r="I49" i="28"/>
  <c r="H49" i="28"/>
  <c r="I48" i="28"/>
  <c r="H48" i="28"/>
  <c r="I47" i="28"/>
  <c r="H47" i="28"/>
  <c r="I46" i="28"/>
  <c r="H46" i="28"/>
  <c r="I45" i="28"/>
  <c r="H45" i="28"/>
  <c r="I44" i="28"/>
  <c r="H44" i="28"/>
  <c r="I43" i="28"/>
  <c r="H43" i="28"/>
  <c r="I42" i="28"/>
  <c r="H42" i="28"/>
  <c r="I41" i="28"/>
  <c r="H41" i="28"/>
  <c r="I40" i="28"/>
  <c r="H40" i="28"/>
  <c r="I39" i="28"/>
  <c r="H39" i="28"/>
  <c r="I38" i="28"/>
  <c r="H38" i="28"/>
  <c r="I37" i="28"/>
  <c r="H37" i="28"/>
  <c r="I36" i="28"/>
  <c r="H36" i="28"/>
  <c r="I35" i="28"/>
  <c r="H35" i="28"/>
  <c r="I34" i="28"/>
  <c r="H34" i="28"/>
  <c r="I33" i="28"/>
  <c r="H33" i="28"/>
  <c r="I32" i="28"/>
  <c r="H32" i="28"/>
  <c r="I31" i="28"/>
  <c r="H31" i="28"/>
  <c r="I30" i="28"/>
  <c r="H30" i="28"/>
  <c r="I29" i="28"/>
  <c r="H29" i="28"/>
  <c r="I28" i="28"/>
  <c r="H28" i="28"/>
  <c r="I27" i="28"/>
  <c r="H27" i="28"/>
  <c r="I26" i="28"/>
  <c r="H26" i="28"/>
  <c r="I25" i="28"/>
  <c r="H25" i="28"/>
  <c r="I24" i="28"/>
  <c r="H24" i="28"/>
  <c r="I23" i="28"/>
  <c r="H23" i="28"/>
  <c r="I22" i="28"/>
  <c r="H22" i="28"/>
  <c r="I21" i="28"/>
  <c r="H21" i="28"/>
  <c r="I20" i="28"/>
  <c r="H20" i="28"/>
  <c r="I19" i="28"/>
  <c r="H19" i="28"/>
  <c r="I18" i="28"/>
  <c r="H18" i="28"/>
  <c r="I17" i="28"/>
  <c r="H17" i="28"/>
  <c r="I16" i="28"/>
  <c r="H16" i="28"/>
  <c r="I15" i="28"/>
  <c r="H15" i="28"/>
  <c r="I14" i="28"/>
  <c r="H14" i="28"/>
  <c r="I13" i="28"/>
  <c r="H13" i="28"/>
  <c r="I12" i="28"/>
  <c r="H12" i="28"/>
  <c r="I11" i="28"/>
  <c r="H11" i="28"/>
  <c r="I10" i="28"/>
  <c r="H10" i="28"/>
  <c r="I9" i="28"/>
  <c r="H9" i="28"/>
  <c r="I8" i="28"/>
  <c r="H8" i="28"/>
  <c r="I7" i="28"/>
  <c r="H7" i="28"/>
  <c r="P1" i="28"/>
  <c r="E1" i="25" s="1"/>
  <c r="L1" i="28"/>
  <c r="L8" i="28" s="1"/>
  <c r="E50" i="25"/>
  <c r="D50" i="25"/>
  <c r="E48" i="25"/>
  <c r="D48" i="25"/>
  <c r="E47" i="25"/>
  <c r="D47" i="25"/>
  <c r="E46" i="25"/>
  <c r="D46" i="25"/>
  <c r="E44" i="25"/>
  <c r="D44" i="25"/>
  <c r="E40" i="25"/>
  <c r="D40" i="25"/>
  <c r="E11" i="25"/>
  <c r="D11" i="25"/>
  <c r="A3" i="24"/>
  <c r="D1" i="25" l="1"/>
  <c r="B85" i="28"/>
  <c r="L7" i="28"/>
  <c r="P7" i="28"/>
  <c r="P8" i="28"/>
  <c r="D2" i="3" l="1"/>
  <c r="D8" i="3" l="1"/>
  <c r="P72" i="28" s="1"/>
  <c r="G21" i="6" l="1"/>
  <c r="G36" i="6"/>
  <c r="H36" i="6" s="1"/>
  <c r="H18" i="4"/>
  <c r="R101" i="7"/>
  <c r="R104" i="7"/>
  <c r="Y104" i="7"/>
  <c r="AC104" i="7" s="1"/>
  <c r="V104" i="7"/>
  <c r="S104" i="7"/>
  <c r="R103" i="7"/>
  <c r="Y103" i="7"/>
  <c r="AC103" i="7" s="1"/>
  <c r="V103" i="7"/>
  <c r="S103" i="7"/>
  <c r="Y101" i="7"/>
  <c r="AC101" i="7" s="1"/>
  <c r="V101" i="7"/>
  <c r="S101" i="7"/>
  <c r="Y100" i="7"/>
  <c r="AC100" i="7" s="1"/>
  <c r="AB52" i="7" s="1"/>
  <c r="V100" i="7"/>
  <c r="S100" i="7"/>
  <c r="R100" i="7"/>
  <c r="G18" i="4"/>
  <c r="AH100" i="7" l="1"/>
  <c r="AI100" i="7"/>
  <c r="AH52" i="7" s="1"/>
  <c r="AG52" i="7" s="1"/>
  <c r="AH101" i="7"/>
  <c r="AI101" i="7"/>
  <c r="L103" i="7"/>
  <c r="AL103" i="7" s="1"/>
  <c r="L104" i="7"/>
  <c r="AL104" i="7" s="1"/>
  <c r="L100" i="7"/>
  <c r="AL100" i="7" s="1"/>
  <c r="L101" i="7"/>
  <c r="AL101" i="7" s="1"/>
  <c r="AK103" i="28"/>
  <c r="AJ38" i="28"/>
  <c r="AH57" i="28"/>
  <c r="F92" i="28"/>
  <c r="AC37" i="28"/>
  <c r="AH49" i="28"/>
  <c r="AC101" i="28"/>
  <c r="AJ103" i="28"/>
  <c r="F93" i="28"/>
  <c r="AI50" i="28"/>
  <c r="J101" i="28"/>
  <c r="AH106" i="28"/>
  <c r="AI101" i="28"/>
  <c r="AI85" i="28"/>
  <c r="F101" i="28"/>
  <c r="AI91" i="28"/>
  <c r="AI54" i="28"/>
  <c r="F104" i="28"/>
  <c r="AC105" i="28"/>
  <c r="AC57" i="28"/>
  <c r="AL90" i="28"/>
  <c r="AK101" i="28"/>
  <c r="AI99" i="28"/>
  <c r="AI90" i="28"/>
  <c r="AK14" i="28"/>
  <c r="K101" i="28"/>
  <c r="AJ98" i="28"/>
  <c r="AC43" i="28"/>
  <c r="AC106" i="28"/>
  <c r="J100" i="28"/>
  <c r="J85" i="28"/>
  <c r="AH58" i="28"/>
  <c r="J87" i="28"/>
  <c r="AK89" i="28"/>
  <c r="AC86" i="28"/>
  <c r="K93" i="28"/>
  <c r="F89" i="28"/>
  <c r="AI53" i="28"/>
  <c r="AH93" i="28"/>
  <c r="AI106" i="28"/>
  <c r="AC90" i="28"/>
  <c r="F106" i="28"/>
  <c r="AL51" i="28"/>
  <c r="AH86" i="28"/>
  <c r="AH47" i="28"/>
  <c r="AL98" i="28"/>
  <c r="AK91" i="28"/>
  <c r="AJ45" i="28"/>
  <c r="J90" i="28"/>
  <c r="AL52" i="28"/>
  <c r="AI56" i="28"/>
  <c r="AL101" i="28"/>
  <c r="G91" i="28"/>
  <c r="AH85" i="28"/>
  <c r="F90" i="28"/>
  <c r="AK86" i="28"/>
  <c r="AJ96" i="28"/>
  <c r="AK102" i="28"/>
  <c r="AJ62" i="28"/>
  <c r="G106" i="28"/>
  <c r="K105" i="28"/>
  <c r="AH61" i="28"/>
  <c r="AH98" i="28"/>
  <c r="J99" i="28"/>
  <c r="G93" i="28"/>
  <c r="AC102" i="28"/>
  <c r="AK43" i="28"/>
  <c r="AK45" i="28"/>
  <c r="K97" i="28"/>
  <c r="AI87" i="28"/>
  <c r="AI47" i="28"/>
  <c r="AK97" i="28"/>
  <c r="F102" i="28"/>
  <c r="F91" i="28"/>
  <c r="AK87" i="28"/>
  <c r="AK93" i="28"/>
  <c r="AK49" i="28"/>
  <c r="AC42" i="28"/>
  <c r="AL41" i="28"/>
  <c r="J104" i="28"/>
  <c r="AL46" i="28"/>
  <c r="AJ87" i="28"/>
  <c r="AL91" i="28"/>
  <c r="AC87" i="28"/>
  <c r="AL61" i="28"/>
  <c r="AH48" i="28"/>
  <c r="AK88" i="28"/>
  <c r="AI43" i="28"/>
  <c r="K100" i="28"/>
  <c r="AK50" i="28"/>
  <c r="K90" i="28"/>
  <c r="AC48" i="28"/>
  <c r="AC59" i="28"/>
  <c r="AI58" i="28"/>
  <c r="AJ48" i="28"/>
  <c r="AH50" i="28"/>
  <c r="AL100" i="28"/>
  <c r="AL57" i="28"/>
  <c r="G89" i="28"/>
  <c r="J89" i="28"/>
  <c r="AC39" i="28"/>
  <c r="AC46" i="28"/>
  <c r="F103" i="28"/>
  <c r="AC50" i="28"/>
  <c r="J98" i="28"/>
  <c r="AL56" i="28"/>
  <c r="AL55" i="28"/>
  <c r="AC97" i="28"/>
  <c r="AH102" i="28"/>
  <c r="AJ100" i="28"/>
  <c r="AL88" i="28"/>
  <c r="AH105" i="28"/>
  <c r="AI48" i="28"/>
  <c r="AC98" i="28"/>
  <c r="AL45" i="28"/>
  <c r="AJ15" i="28"/>
  <c r="AH44" i="28"/>
  <c r="AL16" i="28"/>
  <c r="AC100" i="28"/>
  <c r="AJ95" i="28"/>
  <c r="AK100" i="28"/>
  <c r="AC40" i="28"/>
  <c r="G102" i="28"/>
  <c r="AK96" i="28"/>
  <c r="AH60" i="28"/>
  <c r="AI46" i="28"/>
  <c r="K86" i="28"/>
  <c r="J92" i="28"/>
  <c r="G100" i="28"/>
  <c r="AJ47" i="28"/>
  <c r="AC71" i="28"/>
  <c r="AJ59" i="28"/>
  <c r="AK58" i="28"/>
  <c r="AC88" i="28"/>
  <c r="AK46" i="28"/>
  <c r="AH59" i="28"/>
  <c r="AL58" i="28"/>
  <c r="AL104" i="28"/>
  <c r="F99" i="28"/>
  <c r="AH96" i="28"/>
  <c r="AI42" i="28"/>
  <c r="AC61" i="28"/>
  <c r="AK54" i="28"/>
  <c r="AC38" i="28"/>
  <c r="AK38" i="28"/>
  <c r="G99" i="28"/>
  <c r="J96" i="28"/>
  <c r="AK92" i="28"/>
  <c r="G90" i="28"/>
  <c r="AL53" i="28"/>
  <c r="AK47" i="28"/>
  <c r="AJ106" i="28"/>
  <c r="AJ90" i="28"/>
  <c r="G97" i="28"/>
  <c r="G87" i="28"/>
  <c r="K102" i="28"/>
  <c r="AC96" i="28"/>
  <c r="AL102" i="28"/>
  <c r="AI55" i="28"/>
  <c r="K87" i="28"/>
  <c r="AI89" i="28"/>
  <c r="G92" i="28"/>
  <c r="AI57" i="28"/>
  <c r="K85" i="28"/>
  <c r="AL97" i="28"/>
  <c r="AJ97" i="28"/>
  <c r="AL62" i="28"/>
  <c r="F100" i="28"/>
  <c r="AH99" i="28"/>
  <c r="AK41" i="28"/>
  <c r="G98" i="28"/>
  <c r="AJ49" i="28"/>
  <c r="AL54" i="28"/>
  <c r="AI52" i="28"/>
  <c r="AI60" i="28"/>
  <c r="AL87" i="28"/>
  <c r="AC45" i="28"/>
  <c r="AJ41" i="28"/>
  <c r="K95" i="28"/>
  <c r="AH71" i="28"/>
  <c r="AI96" i="28"/>
  <c r="AC91" i="28"/>
  <c r="AH37" i="28"/>
  <c r="AL99" i="28"/>
  <c r="AJ55" i="28"/>
  <c r="AJ61" i="28"/>
  <c r="AI38" i="28"/>
  <c r="AH87" i="28"/>
  <c r="AH39" i="28"/>
  <c r="AK55" i="28"/>
  <c r="AL47" i="28"/>
  <c r="AK59" i="28"/>
  <c r="AJ91" i="28"/>
  <c r="AJ16" i="28"/>
  <c r="AL50" i="28"/>
  <c r="AL43" i="28"/>
  <c r="AL60" i="28"/>
  <c r="AJ37" i="28"/>
  <c r="AC51" i="28"/>
  <c r="AI59" i="28"/>
  <c r="AH92" i="28"/>
  <c r="AL44" i="28"/>
  <c r="K96" i="28"/>
  <c r="AH104" i="28"/>
  <c r="AH46" i="28"/>
  <c r="AH55" i="28"/>
  <c r="AK39" i="28"/>
  <c r="AI98" i="28"/>
  <c r="AJ46" i="28"/>
  <c r="AL92" i="28"/>
  <c r="AI45" i="28"/>
  <c r="F85" i="28"/>
  <c r="AI40" i="28"/>
  <c r="AC92" i="28"/>
  <c r="AJ92" i="28"/>
  <c r="AL48" i="28"/>
  <c r="AK61" i="28"/>
  <c r="AK51" i="28"/>
  <c r="K91" i="28"/>
  <c r="AL15" i="28"/>
  <c r="J88" i="28"/>
  <c r="AK52" i="28"/>
  <c r="K92" i="28"/>
  <c r="AJ60" i="28"/>
  <c r="AH54" i="28"/>
  <c r="AH88" i="28"/>
  <c r="AL85" i="28"/>
  <c r="AH41" i="28"/>
  <c r="F86" i="28"/>
  <c r="AJ101" i="28"/>
  <c r="AH52" i="28"/>
  <c r="AK85" i="28"/>
  <c r="J102" i="28"/>
  <c r="AC58" i="28"/>
  <c r="G103" i="28"/>
  <c r="AJ86" i="28"/>
  <c r="AK37" i="28"/>
  <c r="AJ56" i="28"/>
  <c r="AH97" i="28"/>
  <c r="AK48" i="28"/>
  <c r="J103" i="28"/>
  <c r="AC104" i="28"/>
  <c r="AI41" i="28"/>
  <c r="AC60" i="28"/>
  <c r="AI103" i="28"/>
  <c r="AJ43" i="28"/>
  <c r="AH95" i="28"/>
  <c r="AC95" i="28"/>
  <c r="AI92" i="28"/>
  <c r="AK60" i="28"/>
  <c r="AK56" i="28"/>
  <c r="AL96" i="28"/>
  <c r="AH51" i="28"/>
  <c r="G86" i="28"/>
  <c r="AI102" i="28"/>
  <c r="AI93" i="28"/>
  <c r="G88" i="28"/>
  <c r="AK106" i="28"/>
  <c r="G105" i="28"/>
  <c r="AJ54" i="28"/>
  <c r="AC89" i="28"/>
  <c r="AJ50" i="28"/>
  <c r="AL39" i="28"/>
  <c r="F97" i="28"/>
  <c r="AI97" i="28"/>
  <c r="AJ58" i="28"/>
  <c r="AL40" i="28"/>
  <c r="AH40" i="28"/>
  <c r="AJ42" i="28"/>
  <c r="AK98" i="28"/>
  <c r="AL105" i="28"/>
  <c r="AH90" i="28"/>
  <c r="AI105" i="28"/>
  <c r="AC52" i="28"/>
  <c r="AJ88" i="28"/>
  <c r="G104" i="28"/>
  <c r="AJ40" i="28"/>
  <c r="J93" i="28"/>
  <c r="G85" i="28"/>
  <c r="AL89" i="28"/>
  <c r="AL37" i="28"/>
  <c r="K103" i="28"/>
  <c r="AL95" i="28"/>
  <c r="AC85" i="28"/>
  <c r="F95" i="28"/>
  <c r="AI100" i="28"/>
  <c r="AJ52" i="28"/>
  <c r="AH38" i="28"/>
  <c r="AC62" i="28"/>
  <c r="AK53" i="28"/>
  <c r="AH43" i="28"/>
  <c r="J91" i="28"/>
  <c r="AH103" i="28"/>
  <c r="F96" i="28"/>
  <c r="AI95" i="28"/>
  <c r="AK15" i="28"/>
  <c r="J86" i="28"/>
  <c r="AC54" i="28"/>
  <c r="AJ99" i="28"/>
  <c r="J95" i="28"/>
  <c r="K88" i="28"/>
  <c r="K99" i="28"/>
  <c r="AL86" i="28"/>
  <c r="AI88" i="28"/>
  <c r="F98" i="28"/>
  <c r="AK105" i="28"/>
  <c r="AJ44" i="28"/>
  <c r="J106" i="28"/>
  <c r="AK16" i="28"/>
  <c r="AI62" i="28"/>
  <c r="AC103" i="28"/>
  <c r="AI86" i="28"/>
  <c r="AI51" i="28"/>
  <c r="AC99" i="28"/>
  <c r="AL49" i="28"/>
  <c r="AC44" i="28"/>
  <c r="AJ57" i="28"/>
  <c r="AL103" i="28"/>
  <c r="AK40" i="28"/>
  <c r="J105" i="28"/>
  <c r="AH100" i="28"/>
  <c r="AC41" i="28"/>
  <c r="AJ85" i="28"/>
  <c r="AK42" i="28"/>
  <c r="AL106" i="28"/>
  <c r="AI37" i="28"/>
  <c r="F105" i="28"/>
  <c r="G95" i="28"/>
  <c r="AJ89" i="28"/>
  <c r="AJ51" i="28"/>
  <c r="K98" i="28"/>
  <c r="AL38" i="28"/>
  <c r="AL93" i="28"/>
  <c r="AH45" i="28"/>
  <c r="K89" i="28"/>
  <c r="AC47" i="28"/>
  <c r="AH101" i="28"/>
  <c r="AK62" i="28"/>
  <c r="AJ14" i="28"/>
  <c r="G101" i="28"/>
  <c r="AC53" i="28"/>
  <c r="AC49" i="28"/>
  <c r="AK57" i="28"/>
  <c r="AH42" i="28"/>
  <c r="AJ105" i="28"/>
  <c r="G96" i="28"/>
  <c r="AI39" i="28"/>
  <c r="AL59" i="28"/>
  <c r="AK99" i="28"/>
  <c r="F87" i="28"/>
  <c r="AJ102" i="28"/>
  <c r="AJ39" i="28"/>
  <c r="AH91" i="28"/>
  <c r="AH53" i="28"/>
  <c r="AI49" i="28"/>
  <c r="AH89" i="28"/>
  <c r="AC93" i="28"/>
  <c r="J97" i="28"/>
  <c r="AI44" i="28"/>
  <c r="AK104" i="28"/>
  <c r="AJ53" i="28"/>
  <c r="AI61" i="28"/>
  <c r="AJ104" i="28"/>
  <c r="AI104" i="28"/>
  <c r="K104" i="28"/>
  <c r="AJ93" i="28"/>
  <c r="AL14" i="28"/>
  <c r="AK95" i="28"/>
  <c r="AH62" i="28"/>
  <c r="AL42" i="28"/>
  <c r="AK90" i="28"/>
  <c r="AK44" i="28"/>
  <c r="AH56" i="28"/>
  <c r="F88" i="28"/>
  <c r="AC55" i="28"/>
  <c r="K106" i="28"/>
  <c r="AE53" i="28" l="1"/>
  <c r="AE58" i="28"/>
  <c r="AE96" i="28"/>
  <c r="AE85" i="28"/>
  <c r="AE89" i="28"/>
  <c r="AE98" i="28"/>
  <c r="AE62" i="28"/>
  <c r="AE100" i="28"/>
  <c r="AE99" i="28"/>
  <c r="AE52" i="28"/>
  <c r="AE86" i="28"/>
  <c r="AE51" i="28"/>
  <c r="AE41" i="28"/>
  <c r="AE57" i="28"/>
  <c r="AE56" i="28"/>
  <c r="AE43" i="28"/>
  <c r="AE87" i="28"/>
  <c r="AE92" i="28"/>
  <c r="AE59" i="28"/>
  <c r="AE105" i="28"/>
  <c r="AE61" i="28"/>
  <c r="AE54" i="28"/>
  <c r="AE103" i="28"/>
  <c r="AE97" i="28"/>
  <c r="AE102" i="28"/>
  <c r="AE49" i="28"/>
  <c r="AE48" i="28"/>
  <c r="AE95" i="28"/>
  <c r="AE44" i="28"/>
  <c r="AE104" i="28"/>
  <c r="AE40" i="28"/>
  <c r="AE88" i="28"/>
  <c r="AE45" i="28"/>
  <c r="AE46" i="28"/>
  <c r="AE38" i="28"/>
  <c r="AE90" i="28"/>
  <c r="AE106" i="28"/>
  <c r="AE101" i="28"/>
  <c r="AE60" i="28"/>
  <c r="AE37" i="28"/>
  <c r="AE91" i="28"/>
  <c r="AE39" i="28"/>
  <c r="AE47" i="28"/>
  <c r="AE42" i="28"/>
  <c r="AE93" i="28"/>
  <c r="AE55" i="28"/>
  <c r="AE50" i="28"/>
  <c r="M52" i="7"/>
  <c r="AG101" i="7"/>
  <c r="AI102" i="7"/>
  <c r="AI104" i="7"/>
  <c r="AI103" i="7"/>
  <c r="AH104" i="7"/>
  <c r="AH102" i="7"/>
  <c r="AH103" i="7"/>
  <c r="AG100" i="7"/>
  <c r="AF52" i="7" s="1"/>
  <c r="BN22" i="7"/>
  <c r="BN21" i="7"/>
  <c r="BN20" i="7"/>
  <c r="BN18" i="7"/>
  <c r="BN17" i="7"/>
  <c r="BN16" i="7"/>
  <c r="BN15" i="7"/>
  <c r="BN14" i="7"/>
  <c r="BN13" i="7"/>
  <c r="BN12" i="7"/>
  <c r="BN11" i="7"/>
  <c r="BN10" i="7"/>
  <c r="V12" i="11"/>
  <c r="V22" i="11" s="1"/>
  <c r="T23" i="11"/>
  <c r="S23" i="11" s="1"/>
  <c r="H23" i="11"/>
  <c r="F5" i="11"/>
  <c r="R23" i="11"/>
  <c r="G23" i="11"/>
  <c r="F23" i="11"/>
  <c r="K23" i="11"/>
  <c r="L23" i="11"/>
  <c r="M23" i="11"/>
  <c r="N23" i="11"/>
  <c r="Q23" i="11"/>
  <c r="X23" i="11"/>
  <c r="AA23" i="11"/>
  <c r="AD23" i="11"/>
  <c r="T19" i="11"/>
  <c r="AD61" i="28"/>
  <c r="AD95" i="28"/>
  <c r="AD105" i="28"/>
  <c r="AD49" i="28"/>
  <c r="AD96" i="28"/>
  <c r="AD42" i="28"/>
  <c r="AD93" i="28"/>
  <c r="AD53" i="28"/>
  <c r="AD58" i="28"/>
  <c r="AD59" i="28"/>
  <c r="AD51" i="28"/>
  <c r="AD55" i="28"/>
  <c r="AD44" i="28"/>
  <c r="AD37" i="28"/>
  <c r="AD97" i="28"/>
  <c r="AD100" i="28"/>
  <c r="AD98" i="28"/>
  <c r="AD45" i="28"/>
  <c r="AD43" i="28"/>
  <c r="AD88" i="28"/>
  <c r="AD103" i="28"/>
  <c r="AD91" i="28"/>
  <c r="AD101" i="28"/>
  <c r="AD92" i="28"/>
  <c r="AD60" i="28"/>
  <c r="AD87" i="28"/>
  <c r="AD38" i="28"/>
  <c r="AD104" i="28"/>
  <c r="AD54" i="28"/>
  <c r="AD46" i="28"/>
  <c r="AD52" i="28"/>
  <c r="AD48" i="28"/>
  <c r="AD90" i="28"/>
  <c r="AD62" i="28"/>
  <c r="AD102" i="28"/>
  <c r="AD106" i="28"/>
  <c r="AD89" i="28"/>
  <c r="AD41" i="28"/>
  <c r="AD85" i="28"/>
  <c r="AD57" i="28"/>
  <c r="AD47" i="28"/>
  <c r="AD39" i="28"/>
  <c r="AD99" i="28"/>
  <c r="AD86" i="28"/>
  <c r="AD50" i="28"/>
  <c r="AD71" i="28"/>
  <c r="AD40" i="28"/>
  <c r="AF45" i="28" l="1"/>
  <c r="N45" i="28" s="1"/>
  <c r="AG45" i="28"/>
  <c r="S45" i="28" s="1"/>
  <c r="AG44" i="28"/>
  <c r="S44" i="28" s="1"/>
  <c r="AF44" i="28"/>
  <c r="R44" i="28" s="1"/>
  <c r="AG71" i="28"/>
  <c r="O71" i="28" s="1"/>
  <c r="AF41" i="28"/>
  <c r="R41" i="28" s="1"/>
  <c r="AG41" i="28"/>
  <c r="O41" i="28" s="1"/>
  <c r="AG88" i="28"/>
  <c r="S88" i="28" s="1"/>
  <c r="AF88" i="28"/>
  <c r="R88" i="28" s="1"/>
  <c r="AF40" i="28"/>
  <c r="N40" i="28" s="1"/>
  <c r="AG40" i="28"/>
  <c r="S40" i="28" s="1"/>
  <c r="AG96" i="28"/>
  <c r="S96" i="28" s="1"/>
  <c r="AF96" i="28"/>
  <c r="R96" i="28" s="1"/>
  <c r="AF92" i="28"/>
  <c r="R92" i="28" s="1"/>
  <c r="AG92" i="28"/>
  <c r="O92" i="28" s="1"/>
  <c r="AG93" i="28"/>
  <c r="O93" i="28" s="1"/>
  <c r="AF93" i="28"/>
  <c r="R93" i="28" s="1"/>
  <c r="AF104" i="28"/>
  <c r="R104" i="28" s="1"/>
  <c r="AG104" i="28"/>
  <c r="S104" i="28" s="1"/>
  <c r="AF106" i="28"/>
  <c r="R106" i="28" s="1"/>
  <c r="AG106" i="28"/>
  <c r="O106" i="28" s="1"/>
  <c r="AF86" i="28"/>
  <c r="R86" i="28" s="1"/>
  <c r="AG86" i="28"/>
  <c r="AG50" i="28"/>
  <c r="S50" i="28" s="1"/>
  <c r="AF50" i="28"/>
  <c r="R50" i="28" s="1"/>
  <c r="AG53" i="28"/>
  <c r="O53" i="28" s="1"/>
  <c r="AF53" i="28"/>
  <c r="N53" i="28" s="1"/>
  <c r="AG57" i="28"/>
  <c r="O57" i="28" s="1"/>
  <c r="AF57" i="28"/>
  <c r="R57" i="28" s="1"/>
  <c r="AG62" i="28"/>
  <c r="O62" i="28" s="1"/>
  <c r="AF62" i="28"/>
  <c r="R62" i="28" s="1"/>
  <c r="AG37" i="28"/>
  <c r="O37" i="28" s="1"/>
  <c r="AF37" i="28"/>
  <c r="AG87" i="28"/>
  <c r="O87" i="28" s="1"/>
  <c r="AF87" i="28"/>
  <c r="N87" i="28" s="1"/>
  <c r="AF101" i="28"/>
  <c r="N101" i="28" s="1"/>
  <c r="AG101" i="28"/>
  <c r="S101" i="28" s="1"/>
  <c r="AG54" i="28"/>
  <c r="O54" i="28" s="1"/>
  <c r="AF54" i="28"/>
  <c r="N54" i="28" s="1"/>
  <c r="AG42" i="28"/>
  <c r="O42" i="28" s="1"/>
  <c r="AF42" i="28"/>
  <c r="N42" i="28" s="1"/>
  <c r="AG59" i="28"/>
  <c r="AF59" i="28"/>
  <c r="AG49" i="28"/>
  <c r="S49" i="28" s="1"/>
  <c r="AF49" i="28"/>
  <c r="R49" i="28" s="1"/>
  <c r="AF52" i="28"/>
  <c r="R52" i="28" s="1"/>
  <c r="AG52" i="28"/>
  <c r="S52" i="28" s="1"/>
  <c r="AG89" i="28"/>
  <c r="O89" i="28" s="1"/>
  <c r="AF89" i="28"/>
  <c r="N89" i="28" s="1"/>
  <c r="AG61" i="28"/>
  <c r="O61" i="28" s="1"/>
  <c r="AF61" i="28"/>
  <c r="AG99" i="28"/>
  <c r="S99" i="28" s="1"/>
  <c r="AF99" i="28"/>
  <c r="R99" i="28" s="1"/>
  <c r="AF39" i="28"/>
  <c r="R39" i="28" s="1"/>
  <c r="AG39" i="28"/>
  <c r="O39" i="28" s="1"/>
  <c r="AF102" i="28"/>
  <c r="N102" i="28" s="1"/>
  <c r="AG102" i="28"/>
  <c r="AF51" i="28"/>
  <c r="N51" i="28" s="1"/>
  <c r="AG51" i="28"/>
  <c r="AG100" i="28"/>
  <c r="O100" i="28" s="1"/>
  <c r="AF100" i="28"/>
  <c r="N100" i="28" s="1"/>
  <c r="AG38" i="28"/>
  <c r="S38" i="28" s="1"/>
  <c r="AF38" i="28"/>
  <c r="AG90" i="28"/>
  <c r="S90" i="28" s="1"/>
  <c r="AF90" i="28"/>
  <c r="R90" i="28" s="1"/>
  <c r="AF58" i="28"/>
  <c r="N58" i="28" s="1"/>
  <c r="AG58" i="28"/>
  <c r="O58" i="28" s="1"/>
  <c r="AF95" i="28"/>
  <c r="R95" i="28" s="1"/>
  <c r="AG95" i="28"/>
  <c r="O95" i="28" s="1"/>
  <c r="AG98" i="28"/>
  <c r="S98" i="28" s="1"/>
  <c r="AF98" i="28"/>
  <c r="N98" i="28" s="1"/>
  <c r="AF43" i="28"/>
  <c r="AG43" i="28"/>
  <c r="S43" i="28" s="1"/>
  <c r="AG97" i="28"/>
  <c r="S97" i="28" s="1"/>
  <c r="AF97" i="28"/>
  <c r="N97" i="28" s="1"/>
  <c r="AG105" i="28"/>
  <c r="O105" i="28" s="1"/>
  <c r="AF105" i="28"/>
  <c r="N105" i="28" s="1"/>
  <c r="AG55" i="28"/>
  <c r="O55" i="28" s="1"/>
  <c r="AF55" i="28"/>
  <c r="R55" i="28" s="1"/>
  <c r="AF85" i="28"/>
  <c r="R85" i="28" s="1"/>
  <c r="AG85" i="28"/>
  <c r="AG46" i="28"/>
  <c r="AF46" i="28"/>
  <c r="R46" i="28" s="1"/>
  <c r="AF48" i="28"/>
  <c r="R48" i="28" s="1"/>
  <c r="AG48" i="28"/>
  <c r="O48" i="28" s="1"/>
  <c r="AG103" i="28"/>
  <c r="O103" i="28" s="1"/>
  <c r="AF103" i="28"/>
  <c r="R103" i="28" s="1"/>
  <c r="AG47" i="28"/>
  <c r="S47" i="28" s="1"/>
  <c r="AF47" i="28"/>
  <c r="R47" i="28" s="1"/>
  <c r="AG60" i="28"/>
  <c r="O60" i="28" s="1"/>
  <c r="AF60" i="28"/>
  <c r="R60" i="28" s="1"/>
  <c r="AG91" i="28"/>
  <c r="S91" i="28" s="1"/>
  <c r="AF91" i="28"/>
  <c r="R91" i="28" s="1"/>
  <c r="F28" i="11"/>
  <c r="F29" i="11" s="1"/>
  <c r="AG103" i="7"/>
  <c r="AK103" i="7" s="1"/>
  <c r="AG104" i="7"/>
  <c r="AK104" i="7" s="1"/>
  <c r="AK100" i="7"/>
  <c r="AJ52" i="7" s="1"/>
  <c r="AK52" i="7" s="1"/>
  <c r="M100" i="7"/>
  <c r="AK101" i="7"/>
  <c r="M101" i="7"/>
  <c r="E59" i="21"/>
  <c r="C59" i="21"/>
  <c r="I60" i="21"/>
  <c r="I59" i="21" s="1"/>
  <c r="G60" i="21"/>
  <c r="G59" i="21" s="1"/>
  <c r="J60" i="21"/>
  <c r="J59" i="21" s="1"/>
  <c r="H60" i="21"/>
  <c r="H59" i="21" s="1"/>
  <c r="F60" i="21"/>
  <c r="F59" i="21" s="1"/>
  <c r="D60" i="21"/>
  <c r="D59" i="21" s="1"/>
  <c r="S106" i="28" l="1"/>
  <c r="N96" i="28"/>
  <c r="O98" i="28"/>
  <c r="N50" i="28"/>
  <c r="R45" i="28"/>
  <c r="S71" i="28"/>
  <c r="R42" i="28"/>
  <c r="S53" i="28"/>
  <c r="O101" i="28"/>
  <c r="O104" i="28"/>
  <c r="N99" i="28"/>
  <c r="N88" i="28"/>
  <c r="R89" i="28"/>
  <c r="N92" i="28"/>
  <c r="O44" i="28"/>
  <c r="R54" i="28"/>
  <c r="N49" i="28"/>
  <c r="R53" i="28"/>
  <c r="N57" i="28"/>
  <c r="S41" i="28"/>
  <c r="N93" i="28"/>
  <c r="O45" i="28"/>
  <c r="R51" i="28"/>
  <c r="N39" i="28"/>
  <c r="R40" i="28"/>
  <c r="N52" i="28"/>
  <c r="O52" i="28"/>
  <c r="O40" i="28"/>
  <c r="N104" i="28"/>
  <c r="O43" i="28"/>
  <c r="N90" i="28"/>
  <c r="S103" i="28"/>
  <c r="S48" i="28"/>
  <c r="S55" i="28"/>
  <c r="O97" i="28"/>
  <c r="N91" i="28"/>
  <c r="S58" i="28"/>
  <c r="S39" i="28"/>
  <c r="O90" i="28"/>
  <c r="O99" i="28"/>
  <c r="S42" i="28"/>
  <c r="O50" i="28"/>
  <c r="O91" i="28"/>
  <c r="R98" i="28"/>
  <c r="S92" i="28"/>
  <c r="S37" i="28"/>
  <c r="N85" i="28"/>
  <c r="O49" i="28"/>
  <c r="O47" i="28"/>
  <c r="O96" i="28"/>
  <c r="O88" i="28"/>
  <c r="R97" i="28"/>
  <c r="N55" i="28"/>
  <c r="N62" i="28"/>
  <c r="N41" i="28"/>
  <c r="S89" i="28"/>
  <c r="S54" i="28"/>
  <c r="R87" i="28"/>
  <c r="R101" i="28"/>
  <c r="S100" i="28"/>
  <c r="S61" i="28"/>
  <c r="S60" i="28"/>
  <c r="R105" i="28"/>
  <c r="N47" i="28"/>
  <c r="S95" i="28"/>
  <c r="N60" i="28"/>
  <c r="N103" i="28"/>
  <c r="R100" i="28"/>
  <c r="N46" i="28"/>
  <c r="R43" i="28"/>
  <c r="N43" i="28"/>
  <c r="N86" i="28"/>
  <c r="S62" i="28"/>
  <c r="R58" i="28"/>
  <c r="N106" i="28"/>
  <c r="R102" i="28"/>
  <c r="N44" i="28"/>
  <c r="S57" i="28"/>
  <c r="N38" i="28"/>
  <c r="R38" i="28"/>
  <c r="S51" i="28"/>
  <c r="O51" i="28"/>
  <c r="R61" i="28"/>
  <c r="N61" i="28"/>
  <c r="R59" i="28"/>
  <c r="N59" i="28"/>
  <c r="O86" i="28"/>
  <c r="S86" i="28"/>
  <c r="S46" i="28"/>
  <c r="O46" i="28"/>
  <c r="O59" i="28"/>
  <c r="S59" i="28"/>
  <c r="S93" i="28"/>
  <c r="N48" i="28"/>
  <c r="N95" i="28"/>
  <c r="O38" i="28"/>
  <c r="S105" i="28"/>
  <c r="S87" i="28"/>
  <c r="S85" i="28"/>
  <c r="O85" i="28"/>
  <c r="S102" i="28"/>
  <c r="O102" i="28"/>
  <c r="R37" i="28"/>
  <c r="N37" i="28"/>
  <c r="M104" i="7"/>
  <c r="M103" i="7"/>
  <c r="J63" i="21"/>
  <c r="J65" i="21" s="1"/>
  <c r="I63" i="21"/>
  <c r="I65" i="21" s="1"/>
  <c r="K65" i="21" l="1"/>
  <c r="BK22" i="7" l="1"/>
  <c r="BK21" i="7"/>
  <c r="BK20" i="7"/>
  <c r="BS20" i="7"/>
  <c r="BI19" i="7"/>
  <c r="BK19" i="7" s="1"/>
  <c r="BJ19" i="7"/>
  <c r="BK18" i="7"/>
  <c r="BS18" i="7"/>
  <c r="BK17" i="7"/>
  <c r="BK16" i="7"/>
  <c r="BK15" i="7"/>
  <c r="BK14" i="7"/>
  <c r="BK13" i="7"/>
  <c r="BS13" i="7"/>
  <c r="BK12" i="7"/>
  <c r="BK11" i="7"/>
  <c r="BS11" i="7"/>
  <c r="BK10" i="7"/>
  <c r="BK9" i="7"/>
  <c r="BN9" i="7"/>
  <c r="BS9" i="7" s="1"/>
  <c r="BN8" i="7"/>
  <c r="F8" i="7" s="1"/>
  <c r="BS22" i="7"/>
  <c r="BH22" i="7"/>
  <c r="BS21" i="7"/>
  <c r="BH21" i="7"/>
  <c r="BH20" i="7"/>
  <c r="BH19" i="7"/>
  <c r="BH18" i="7"/>
  <c r="BS17" i="7"/>
  <c r="BH17" i="7"/>
  <c r="BS16" i="7"/>
  <c r="BH16" i="7"/>
  <c r="BS15" i="7"/>
  <c r="BH15" i="7"/>
  <c r="BH14" i="7"/>
  <c r="BH13" i="7"/>
  <c r="BS12" i="7"/>
  <c r="BH12" i="7"/>
  <c r="BH11" i="7"/>
  <c r="BS10" i="7"/>
  <c r="BH10" i="7"/>
  <c r="BH9" i="7"/>
  <c r="BR8" i="7"/>
  <c r="BM8" i="7"/>
  <c r="F111" i="1"/>
  <c r="AC13" i="11"/>
  <c r="AC35" i="11" s="1"/>
  <c r="Z13" i="11"/>
  <c r="Z35" i="11" s="1"/>
  <c r="Y13" i="11"/>
  <c r="Y35" i="11" s="1"/>
  <c r="X13" i="11"/>
  <c r="X35" i="11" s="1"/>
  <c r="J20" i="11"/>
  <c r="K20" i="11"/>
  <c r="L20" i="11"/>
  <c r="M20" i="11"/>
  <c r="N20" i="11"/>
  <c r="O20" i="11"/>
  <c r="P20" i="11"/>
  <c r="S20" i="11"/>
  <c r="T20" i="11"/>
  <c r="U20" i="11"/>
  <c r="V20" i="11"/>
  <c r="W20" i="11"/>
  <c r="X20" i="11"/>
  <c r="Y20" i="11"/>
  <c r="Z20" i="11"/>
  <c r="AC20" i="11"/>
  <c r="AD20" i="11"/>
  <c r="AE20" i="11"/>
  <c r="G20" i="11"/>
  <c r="I20" i="11"/>
  <c r="F20" i="11"/>
  <c r="E20" i="11"/>
  <c r="E13" i="11"/>
  <c r="G39" i="6"/>
  <c r="F80" i="1"/>
  <c r="J2" i="2"/>
  <c r="W16" i="11"/>
  <c r="W15" i="11"/>
  <c r="P59" i="4"/>
  <c r="AE13" i="11"/>
  <c r="AD13" i="11"/>
  <c r="AD14" i="11"/>
  <c r="W31" i="11"/>
  <c r="W13" i="11"/>
  <c r="M12" i="11"/>
  <c r="R115" i="7"/>
  <c r="R114" i="7"/>
  <c r="R113" i="7"/>
  <c r="R112" i="7"/>
  <c r="J124" i="7"/>
  <c r="R26" i="7"/>
  <c r="R31" i="7"/>
  <c r="R32" i="7"/>
  <c r="R33" i="7"/>
  <c r="R34" i="7"/>
  <c r="R38" i="7"/>
  <c r="R39" i="7"/>
  <c r="R43" i="7"/>
  <c r="R45" i="7"/>
  <c r="R46" i="7"/>
  <c r="R47" i="7"/>
  <c r="R48" i="7"/>
  <c r="R49" i="7"/>
  <c r="R51" i="7"/>
  <c r="R53" i="7"/>
  <c r="R54" i="7"/>
  <c r="R55" i="7"/>
  <c r="R57" i="7"/>
  <c r="R58" i="7"/>
  <c r="R61" i="7"/>
  <c r="R67" i="7"/>
  <c r="R68" i="7"/>
  <c r="R69" i="7"/>
  <c r="R70" i="7"/>
  <c r="R71" i="7"/>
  <c r="R72" i="7"/>
  <c r="R74" i="7"/>
  <c r="R75" i="7"/>
  <c r="R80" i="7"/>
  <c r="R81" i="7"/>
  <c r="R82" i="7"/>
  <c r="R85" i="7"/>
  <c r="R86" i="7"/>
  <c r="R87" i="7"/>
  <c r="R89" i="7"/>
  <c r="F110" i="1"/>
  <c r="V13" i="11"/>
  <c r="U13" i="11"/>
  <c r="T13" i="11"/>
  <c r="S13" i="11"/>
  <c r="P13" i="11"/>
  <c r="O13" i="11"/>
  <c r="N13" i="11"/>
  <c r="M13" i="11"/>
  <c r="L13" i="11"/>
  <c r="K13" i="11"/>
  <c r="J13" i="11"/>
  <c r="I13" i="11"/>
  <c r="G13" i="11"/>
  <c r="D13" i="11"/>
  <c r="D14" i="11" s="1"/>
  <c r="D15" i="11" s="1"/>
  <c r="D16" i="11" s="1"/>
  <c r="AE11" i="11"/>
  <c r="AE6" i="11" s="1"/>
  <c r="AE7" i="11" s="1"/>
  <c r="AC11" i="11"/>
  <c r="AC6" i="11" s="1"/>
  <c r="AC7" i="11" s="1"/>
  <c r="W11" i="11"/>
  <c r="W6" i="11" s="1"/>
  <c r="W7" i="11" s="1"/>
  <c r="AD11" i="11"/>
  <c r="P6" i="11"/>
  <c r="R8" i="11"/>
  <c r="R6" i="11" s="1"/>
  <c r="R7" i="11" s="1"/>
  <c r="K6" i="11"/>
  <c r="K14" i="11" s="1"/>
  <c r="J6" i="11"/>
  <c r="H6" i="11"/>
  <c r="F6" i="11"/>
  <c r="AB5" i="11"/>
  <c r="I9" i="11"/>
  <c r="I8" i="11"/>
  <c r="H5" i="11"/>
  <c r="F13" i="11"/>
  <c r="O6" i="11"/>
  <c r="T6" i="11"/>
  <c r="T7" i="11" s="1"/>
  <c r="S6" i="11"/>
  <c r="S7" i="11" s="1"/>
  <c r="Q6" i="11"/>
  <c r="Q21" i="11" s="1"/>
  <c r="N6" i="11"/>
  <c r="M6" i="11"/>
  <c r="E6" i="11"/>
  <c r="AA5" i="11"/>
  <c r="Q5" i="11"/>
  <c r="Z11" i="11"/>
  <c r="Z6" i="11" s="1"/>
  <c r="Y11" i="11"/>
  <c r="Y6" i="11" s="1"/>
  <c r="X11" i="11"/>
  <c r="X6" i="11" s="1"/>
  <c r="A39" i="11"/>
  <c r="AZ2" i="7" s="1"/>
  <c r="H8" i="19"/>
  <c r="J8" i="19" s="1"/>
  <c r="H7" i="19"/>
  <c r="G7" i="19"/>
  <c r="F7" i="19"/>
  <c r="E7" i="19"/>
  <c r="G6" i="19"/>
  <c r="K16" i="19" s="1"/>
  <c r="F6" i="19"/>
  <c r="J16" i="19" s="1"/>
  <c r="E6" i="19"/>
  <c r="I6" i="19" s="1"/>
  <c r="G5" i="19"/>
  <c r="K15" i="19" s="1"/>
  <c r="F5" i="19"/>
  <c r="J15" i="19" s="1"/>
  <c r="E5" i="19"/>
  <c r="G4" i="19"/>
  <c r="K14" i="19" s="1"/>
  <c r="F4" i="19"/>
  <c r="J14" i="19" s="1"/>
  <c r="E4" i="19"/>
  <c r="I14" i="19" s="1"/>
  <c r="J3" i="19"/>
  <c r="K3" i="19" s="1"/>
  <c r="F3" i="19"/>
  <c r="G3" i="19" s="1"/>
  <c r="C3" i="19"/>
  <c r="D3" i="19" s="1"/>
  <c r="K2" i="19"/>
  <c r="J2" i="19"/>
  <c r="I2" i="19"/>
  <c r="G2" i="19"/>
  <c r="F2" i="19"/>
  <c r="E2" i="19"/>
  <c r="F109" i="1"/>
  <c r="F108" i="1"/>
  <c r="E11" i="11"/>
  <c r="F11" i="11"/>
  <c r="G11" i="11"/>
  <c r="I11" i="11"/>
  <c r="J11" i="11"/>
  <c r="K11" i="11"/>
  <c r="L11" i="11"/>
  <c r="L6" i="11" s="1"/>
  <c r="L7" i="11" s="1"/>
  <c r="M11" i="11"/>
  <c r="N11" i="11"/>
  <c r="O11" i="11"/>
  <c r="P11" i="11"/>
  <c r="S11" i="11"/>
  <c r="T11" i="11"/>
  <c r="U11" i="11"/>
  <c r="U6" i="11" s="1"/>
  <c r="U7" i="11" s="1"/>
  <c r="V11" i="11"/>
  <c r="V6" i="11" s="1"/>
  <c r="V7" i="11" s="1"/>
  <c r="A93" i="18"/>
  <c r="AL144" i="7" s="1"/>
  <c r="A63" i="18"/>
  <c r="AL142" i="7" s="1"/>
  <c r="A29" i="18"/>
  <c r="AL141" i="7" s="1"/>
  <c r="AM141" i="7" s="1"/>
  <c r="C59" i="16"/>
  <c r="D59" i="16"/>
  <c r="E59" i="16"/>
  <c r="F59" i="16"/>
  <c r="G59" i="16"/>
  <c r="H59" i="16"/>
  <c r="I59" i="16"/>
  <c r="J59" i="16"/>
  <c r="K59" i="16"/>
  <c r="L59" i="16"/>
  <c r="M59" i="16"/>
  <c r="N59" i="16"/>
  <c r="O59" i="16"/>
  <c r="P59" i="16"/>
  <c r="Q59" i="16"/>
  <c r="R59" i="16"/>
  <c r="S59" i="16"/>
  <c r="T59" i="16"/>
  <c r="T31" i="11"/>
  <c r="I31" i="11"/>
  <c r="F31" i="11"/>
  <c r="G31" i="11"/>
  <c r="H31" i="11"/>
  <c r="J31" i="11"/>
  <c r="K31" i="11"/>
  <c r="L31" i="11"/>
  <c r="M31" i="11"/>
  <c r="N31" i="11"/>
  <c r="O31" i="11"/>
  <c r="P31" i="11"/>
  <c r="Q31" i="11"/>
  <c r="R31" i="11"/>
  <c r="S31" i="11"/>
  <c r="U31" i="11"/>
  <c r="V31" i="11"/>
  <c r="E31" i="11"/>
  <c r="V2" i="3"/>
  <c r="W2" i="3"/>
  <c r="X2" i="3"/>
  <c r="X4" i="3"/>
  <c r="X8" i="3" s="1"/>
  <c r="W5" i="3"/>
  <c r="X5" i="3"/>
  <c r="W6" i="3"/>
  <c r="X6" i="3"/>
  <c r="W7" i="3"/>
  <c r="X7" i="3"/>
  <c r="AG96" i="7"/>
  <c r="AK96" i="7" s="1"/>
  <c r="AB96" i="7"/>
  <c r="Y96" i="7"/>
  <c r="AC96" i="7" s="1"/>
  <c r="V96" i="7"/>
  <c r="S96" i="7"/>
  <c r="AG95" i="7"/>
  <c r="AK95" i="7" s="1"/>
  <c r="AB95" i="7"/>
  <c r="Y95" i="7"/>
  <c r="AC95" i="7" s="1"/>
  <c r="V95" i="7"/>
  <c r="S95" i="7"/>
  <c r="B24" i="14"/>
  <c r="B26" i="14"/>
  <c r="B25" i="14"/>
  <c r="B6" i="14"/>
  <c r="K8" i="13" s="1"/>
  <c r="V6" i="16"/>
  <c r="V5" i="16"/>
  <c r="V3" i="16"/>
  <c r="V7" i="16" s="1"/>
  <c r="V2" i="16"/>
  <c r="U6" i="16"/>
  <c r="U5" i="16"/>
  <c r="U3" i="16"/>
  <c r="U7" i="16" s="1"/>
  <c r="U2" i="16"/>
  <c r="B12" i="13"/>
  <c r="AB35" i="7"/>
  <c r="Y35" i="7"/>
  <c r="AC35" i="7" s="1"/>
  <c r="AG37" i="7"/>
  <c r="AK37" i="7" s="1"/>
  <c r="X32" i="7"/>
  <c r="W32" i="7"/>
  <c r="AG68" i="7"/>
  <c r="AK68" i="7" s="1"/>
  <c r="AG77" i="7"/>
  <c r="M77" i="7" s="1"/>
  <c r="AG73" i="7"/>
  <c r="AK73" i="7" s="1"/>
  <c r="AG51" i="7"/>
  <c r="AK51" i="7" s="1"/>
  <c r="AG35" i="7"/>
  <c r="AK35" i="7" s="1"/>
  <c r="AG31" i="7"/>
  <c r="AK31" i="7" s="1"/>
  <c r="AK26" i="7"/>
  <c r="AG16" i="7"/>
  <c r="AK16" i="7" s="1"/>
  <c r="AG15" i="7"/>
  <c r="AK15" i="7" s="1"/>
  <c r="Y8" i="7"/>
  <c r="AC8" i="7" s="1"/>
  <c r="Y90" i="7"/>
  <c r="AC90" i="7" s="1"/>
  <c r="Y83" i="7"/>
  <c r="AC83" i="7" s="1"/>
  <c r="Y82" i="7"/>
  <c r="AC82" i="7" s="1"/>
  <c r="Y79" i="7"/>
  <c r="AC79" i="7" s="1"/>
  <c r="Y78" i="7"/>
  <c r="AC78" i="7" s="1"/>
  <c r="Y74" i="7"/>
  <c r="AC74" i="7" s="1"/>
  <c r="Y73" i="7"/>
  <c r="Y72" i="7"/>
  <c r="AC72" i="7" s="1"/>
  <c r="Y71" i="7"/>
  <c r="AC71" i="7" s="1"/>
  <c r="Y69" i="7"/>
  <c r="AC69" i="7" s="1"/>
  <c r="Y68" i="7"/>
  <c r="AC68" i="7" s="1"/>
  <c r="Y67" i="7"/>
  <c r="AC67" i="7" s="1"/>
  <c r="Y66" i="7"/>
  <c r="AC66" i="7" s="1"/>
  <c r="Y65" i="7"/>
  <c r="AC65" i="7" s="1"/>
  <c r="Y64" i="7"/>
  <c r="AC64" i="7" s="1"/>
  <c r="Y61" i="7"/>
  <c r="AC61" i="7" s="1"/>
  <c r="Y60" i="7"/>
  <c r="AC60" i="7" s="1"/>
  <c r="Y58" i="7"/>
  <c r="AC58" i="7" s="1"/>
  <c r="Y57" i="7"/>
  <c r="AC57" i="7" s="1"/>
  <c r="Y56" i="7"/>
  <c r="AC56" i="7" s="1"/>
  <c r="Y55" i="7"/>
  <c r="AC55" i="7" s="1"/>
  <c r="Y54" i="7"/>
  <c r="AC54" i="7" s="1"/>
  <c r="Y53" i="7"/>
  <c r="AC53" i="7" s="1"/>
  <c r="Y50" i="7"/>
  <c r="AC50" i="7" s="1"/>
  <c r="Y47" i="7"/>
  <c r="AC47" i="7" s="1"/>
  <c r="Y44" i="7"/>
  <c r="AC44" i="7" s="1"/>
  <c r="Y102" i="7"/>
  <c r="AC102" i="7" s="1"/>
  <c r="Y42" i="7"/>
  <c r="AC42" i="7" s="1"/>
  <c r="Y41" i="7"/>
  <c r="AC41" i="7" s="1"/>
  <c r="Y40" i="7"/>
  <c r="Y39" i="7"/>
  <c r="Y38" i="7"/>
  <c r="AC38" i="7" s="1"/>
  <c r="Y37" i="7"/>
  <c r="AC37" i="7" s="1"/>
  <c r="Y33" i="7"/>
  <c r="Y31" i="7"/>
  <c r="AC31" i="7" s="1"/>
  <c r="Y30" i="7"/>
  <c r="Y29" i="7"/>
  <c r="AC29" i="7" s="1"/>
  <c r="Y28" i="7"/>
  <c r="AC28" i="7" s="1"/>
  <c r="Y26" i="7"/>
  <c r="Y22" i="7"/>
  <c r="AC22" i="7" s="1"/>
  <c r="Y21" i="7"/>
  <c r="AC21" i="7" s="1"/>
  <c r="Y20" i="7"/>
  <c r="AC20" i="7" s="1"/>
  <c r="Y19" i="7"/>
  <c r="AC19" i="7" s="1"/>
  <c r="Y18" i="7"/>
  <c r="AC18" i="7" s="1"/>
  <c r="Y17" i="7"/>
  <c r="AC17" i="7" s="1"/>
  <c r="Y16" i="7"/>
  <c r="AC16" i="7" s="1"/>
  <c r="Y15" i="7"/>
  <c r="AC15" i="7" s="1"/>
  <c r="Y14" i="7"/>
  <c r="AC14" i="7" s="1"/>
  <c r="Y13" i="7"/>
  <c r="AC13" i="7" s="1"/>
  <c r="Y12" i="7"/>
  <c r="AC12" i="7" s="1"/>
  <c r="Y11" i="7"/>
  <c r="AC11" i="7" s="1"/>
  <c r="Y10" i="7"/>
  <c r="AC10" i="7" s="1"/>
  <c r="Y9" i="7"/>
  <c r="AC9" i="7" s="1"/>
  <c r="C8" i="3"/>
  <c r="P71" i="28" s="1"/>
  <c r="I39" i="6"/>
  <c r="H19" i="4"/>
  <c r="M26" i="7"/>
  <c r="M27" i="7"/>
  <c r="V48" i="7"/>
  <c r="L48" i="7" s="1"/>
  <c r="AL48" i="7" s="1"/>
  <c r="K31" i="6"/>
  <c r="C29" i="13"/>
  <c r="W4" i="3" s="1"/>
  <c r="W8" i="3" s="1"/>
  <c r="F81" i="17"/>
  <c r="F82" i="17"/>
  <c r="F83" i="17"/>
  <c r="F84" i="17"/>
  <c r="F85" i="17"/>
  <c r="F95" i="17"/>
  <c r="F96" i="17"/>
  <c r="F97" i="17"/>
  <c r="F98" i="17"/>
  <c r="C2" i="16"/>
  <c r="D2" i="16"/>
  <c r="E2" i="16"/>
  <c r="F2" i="16"/>
  <c r="G2" i="16"/>
  <c r="H2" i="16"/>
  <c r="I2" i="16"/>
  <c r="J2" i="16"/>
  <c r="K2" i="16"/>
  <c r="L2" i="16"/>
  <c r="M2" i="16"/>
  <c r="N2" i="16"/>
  <c r="O2" i="16"/>
  <c r="P2" i="16"/>
  <c r="Q2" i="16"/>
  <c r="R2" i="16"/>
  <c r="S2" i="16"/>
  <c r="T2" i="16"/>
  <c r="C3" i="16"/>
  <c r="C7" i="16" s="1"/>
  <c r="D3" i="16"/>
  <c r="D7" i="16" s="1"/>
  <c r="D8" i="16" s="1"/>
  <c r="E3" i="16"/>
  <c r="E7" i="16" s="1"/>
  <c r="F3" i="16"/>
  <c r="F7" i="16" s="1"/>
  <c r="G3" i="16"/>
  <c r="G7" i="16" s="1"/>
  <c r="H3" i="16"/>
  <c r="H7" i="16" s="1"/>
  <c r="I3" i="16"/>
  <c r="I7" i="16" s="1"/>
  <c r="J3" i="16"/>
  <c r="J7" i="16" s="1"/>
  <c r="K3" i="16"/>
  <c r="K7" i="16" s="1"/>
  <c r="L3" i="16"/>
  <c r="L7" i="16" s="1"/>
  <c r="M3" i="16"/>
  <c r="M7" i="16" s="1"/>
  <c r="C5" i="13"/>
  <c r="D9" i="13" s="1"/>
  <c r="K4" i="16" s="1"/>
  <c r="S3" i="16"/>
  <c r="S4" i="16" s="1"/>
  <c r="T3" i="16"/>
  <c r="T7" i="16" s="1"/>
  <c r="C4" i="16"/>
  <c r="D4" i="16"/>
  <c r="E4" i="16"/>
  <c r="F4" i="16"/>
  <c r="G4" i="16"/>
  <c r="T4" i="16"/>
  <c r="C5" i="16"/>
  <c r="D5" i="16"/>
  <c r="E5" i="16"/>
  <c r="F5" i="16"/>
  <c r="G5" i="16"/>
  <c r="H5" i="16"/>
  <c r="I5" i="16"/>
  <c r="J5" i="16"/>
  <c r="K5" i="16"/>
  <c r="L5" i="16"/>
  <c r="M5" i="16"/>
  <c r="N5" i="16"/>
  <c r="O5" i="16"/>
  <c r="Q5" i="16"/>
  <c r="R5" i="16"/>
  <c r="T5" i="16"/>
  <c r="C6" i="16"/>
  <c r="D6" i="16"/>
  <c r="E6" i="16"/>
  <c r="F6" i="16"/>
  <c r="G6" i="16"/>
  <c r="H6" i="16"/>
  <c r="I6" i="16"/>
  <c r="J6" i="16"/>
  <c r="K6" i="16"/>
  <c r="L6" i="16"/>
  <c r="M6" i="16"/>
  <c r="T6" i="16"/>
  <c r="N7" i="16"/>
  <c r="N11" i="16" s="1"/>
  <c r="O7" i="16"/>
  <c r="O11" i="16" s="1"/>
  <c r="Q7" i="16"/>
  <c r="Q9" i="16" s="1"/>
  <c r="R7" i="16"/>
  <c r="R8" i="16" s="1"/>
  <c r="A9" i="16"/>
  <c r="A10" i="16"/>
  <c r="A11" i="16"/>
  <c r="C177" i="16"/>
  <c r="D177" i="16"/>
  <c r="E177" i="16"/>
  <c r="F177" i="16"/>
  <c r="G177" i="16"/>
  <c r="H177" i="16"/>
  <c r="I177" i="16"/>
  <c r="J177" i="16"/>
  <c r="K177" i="16"/>
  <c r="L177" i="16"/>
  <c r="M177" i="16"/>
  <c r="N177" i="16"/>
  <c r="O177" i="16"/>
  <c r="P177" i="16"/>
  <c r="Q177" i="16"/>
  <c r="R177" i="16"/>
  <c r="S177" i="16"/>
  <c r="T177" i="16"/>
  <c r="B2" i="14"/>
  <c r="H2" i="14"/>
  <c r="D2" i="14" s="1"/>
  <c r="I2" i="14"/>
  <c r="J2" i="14"/>
  <c r="K2" i="14"/>
  <c r="D3" i="14"/>
  <c r="B4" i="14"/>
  <c r="K6" i="13" s="1"/>
  <c r="B5" i="14"/>
  <c r="K7" i="13" s="1"/>
  <c r="B7" i="14"/>
  <c r="K9" i="13" s="1"/>
  <c r="B8" i="14"/>
  <c r="K10" i="13" s="1"/>
  <c r="B9" i="14"/>
  <c r="C11" i="14" s="1"/>
  <c r="B11" i="14"/>
  <c r="D31" i="13" s="1"/>
  <c r="G11" i="14"/>
  <c r="K11" i="14"/>
  <c r="H12" i="14"/>
  <c r="H28" i="14" s="1"/>
  <c r="I12" i="14"/>
  <c r="I28" i="14" s="1"/>
  <c r="J12" i="14"/>
  <c r="J28" i="14" s="1"/>
  <c r="K12" i="14"/>
  <c r="K28" i="14" s="1"/>
  <c r="B13" i="14"/>
  <c r="K11" i="13" s="1"/>
  <c r="B14" i="14"/>
  <c r="K12" i="13" s="1"/>
  <c r="B15" i="14"/>
  <c r="G15" i="14" s="1"/>
  <c r="H15" i="14"/>
  <c r="I15" i="14"/>
  <c r="J15" i="14"/>
  <c r="K15" i="14"/>
  <c r="B22" i="14"/>
  <c r="C27" i="14" s="1"/>
  <c r="G14" i="13"/>
  <c r="G15" i="13"/>
  <c r="G21" i="13"/>
  <c r="G22" i="13"/>
  <c r="G26" i="13"/>
  <c r="G27" i="13"/>
  <c r="C13" i="13"/>
  <c r="B27" i="14"/>
  <c r="K27" i="14" s="1"/>
  <c r="G27" i="14"/>
  <c r="B29" i="14"/>
  <c r="G29" i="14" s="1"/>
  <c r="B30" i="14"/>
  <c r="G30" i="14" s="1"/>
  <c r="B31" i="14"/>
  <c r="B2" i="13"/>
  <c r="B3" i="13"/>
  <c r="B4" i="13"/>
  <c r="B5" i="13"/>
  <c r="L5" i="13"/>
  <c r="B6" i="13"/>
  <c r="B7" i="13"/>
  <c r="B8" i="13"/>
  <c r="B9" i="13"/>
  <c r="B10" i="13"/>
  <c r="B11" i="13"/>
  <c r="B13" i="13"/>
  <c r="B14" i="13"/>
  <c r="B15" i="13"/>
  <c r="B16" i="13"/>
  <c r="B17" i="13"/>
  <c r="B18" i="13"/>
  <c r="B19" i="13"/>
  <c r="B20" i="13"/>
  <c r="B21" i="13"/>
  <c r="B22" i="13"/>
  <c r="B23" i="13"/>
  <c r="B24" i="13"/>
  <c r="B25" i="13"/>
  <c r="B26" i="13"/>
  <c r="B27" i="13"/>
  <c r="B28" i="13"/>
  <c r="B29" i="13"/>
  <c r="B30" i="13"/>
  <c r="B31" i="13"/>
  <c r="B32" i="13"/>
  <c r="AK113" i="7"/>
  <c r="AK112" i="7"/>
  <c r="AK124" i="7"/>
  <c r="AG138" i="7"/>
  <c r="AK138" i="7" s="1"/>
  <c r="AG108" i="7"/>
  <c r="AK108" i="7" s="1"/>
  <c r="Y108" i="7"/>
  <c r="AC108" i="7" s="1"/>
  <c r="AB108" i="7"/>
  <c r="V108" i="7"/>
  <c r="S108" i="7"/>
  <c r="AG97" i="7"/>
  <c r="AK97" i="7" s="1"/>
  <c r="Y97" i="7"/>
  <c r="AC97" i="7" s="1"/>
  <c r="AB97" i="7"/>
  <c r="V97" i="7"/>
  <c r="S97" i="7"/>
  <c r="AH89" i="7"/>
  <c r="AI89" i="7"/>
  <c r="AH88" i="7"/>
  <c r="AI88" i="7"/>
  <c r="AH87" i="7"/>
  <c r="AI87" i="7"/>
  <c r="AH86" i="7"/>
  <c r="AI86" i="7"/>
  <c r="AK85" i="7"/>
  <c r="AH84" i="7"/>
  <c r="AI84" i="7"/>
  <c r="AH81" i="7"/>
  <c r="AI81" i="7"/>
  <c r="AH80" i="7"/>
  <c r="AI80" i="7"/>
  <c r="AH76" i="7"/>
  <c r="AI76" i="7"/>
  <c r="AH75" i="7"/>
  <c r="AI75" i="7"/>
  <c r="AH70" i="7"/>
  <c r="AI70" i="7"/>
  <c r="AH63" i="7"/>
  <c r="AI63" i="7"/>
  <c r="AK62" i="7"/>
  <c r="AH59" i="7"/>
  <c r="AI59" i="7"/>
  <c r="AH48" i="7"/>
  <c r="AI48" i="7"/>
  <c r="AH46" i="7"/>
  <c r="AI46" i="7"/>
  <c r="AH45" i="7"/>
  <c r="AI45" i="7"/>
  <c r="AH43" i="7"/>
  <c r="AI43" i="7"/>
  <c r="AH40" i="7"/>
  <c r="AI40" i="7"/>
  <c r="AH39" i="7"/>
  <c r="AI39" i="7"/>
  <c r="AH36" i="7"/>
  <c r="AI36" i="7"/>
  <c r="AH34" i="7"/>
  <c r="AI34" i="7"/>
  <c r="AH33" i="7"/>
  <c r="AI33" i="7"/>
  <c r="AH32" i="7"/>
  <c r="AI32" i="7"/>
  <c r="AK27" i="7"/>
  <c r="AK22" i="7"/>
  <c r="AK9" i="7"/>
  <c r="AK10" i="7"/>
  <c r="AK11" i="7"/>
  <c r="AK12" i="7"/>
  <c r="AK13" i="7"/>
  <c r="AK14" i="7"/>
  <c r="AK17" i="7"/>
  <c r="AK18" i="7"/>
  <c r="AK19" i="7"/>
  <c r="AK20" i="7"/>
  <c r="AK21" i="7"/>
  <c r="AK8" i="7"/>
  <c r="AQ2" i="7"/>
  <c r="T115" i="7"/>
  <c r="U115" i="7"/>
  <c r="W115" i="7"/>
  <c r="X115" i="7"/>
  <c r="AH115" i="7"/>
  <c r="AG115" i="7" s="1"/>
  <c r="AF115" i="7"/>
  <c r="AE115" i="7"/>
  <c r="AD115" i="7"/>
  <c r="Y115" i="7"/>
  <c r="AB115" i="7"/>
  <c r="AW114" i="7"/>
  <c r="AI114" i="7"/>
  <c r="AH114" i="7"/>
  <c r="AF114" i="7"/>
  <c r="AE114" i="7"/>
  <c r="AD114" i="7"/>
  <c r="Z114" i="7"/>
  <c r="AA114" i="7"/>
  <c r="X114" i="7"/>
  <c r="W114" i="7"/>
  <c r="S114" i="7"/>
  <c r="A57" i="11"/>
  <c r="BC2" i="7" s="1"/>
  <c r="A51" i="11"/>
  <c r="BB2" i="7" s="1"/>
  <c r="A45" i="11"/>
  <c r="BA2" i="7" s="1"/>
  <c r="I38" i="6"/>
  <c r="I40" i="6"/>
  <c r="I41" i="6"/>
  <c r="I42" i="6"/>
  <c r="AG94" i="7"/>
  <c r="AK94" i="7" s="1"/>
  <c r="AB94" i="7"/>
  <c r="Y94" i="7"/>
  <c r="AC94" i="7" s="1"/>
  <c r="V94" i="7"/>
  <c r="S94" i="7"/>
  <c r="AG93" i="7"/>
  <c r="AK93" i="7" s="1"/>
  <c r="AB93" i="7"/>
  <c r="Y93" i="7"/>
  <c r="AC93" i="7" s="1"/>
  <c r="V93" i="7"/>
  <c r="S93" i="7"/>
  <c r="AG107" i="7"/>
  <c r="AK107" i="7" s="1"/>
  <c r="S107" i="7"/>
  <c r="V107" i="7"/>
  <c r="Y107" i="7"/>
  <c r="AC107" i="7" s="1"/>
  <c r="AB107" i="7"/>
  <c r="AG90" i="7"/>
  <c r="AK90" i="7" s="1"/>
  <c r="AB90" i="7"/>
  <c r="V90" i="7"/>
  <c r="S90" i="7"/>
  <c r="AW89" i="7"/>
  <c r="AF89" i="7"/>
  <c r="AE89" i="7"/>
  <c r="AD89" i="7"/>
  <c r="AA89" i="7"/>
  <c r="Z89" i="7"/>
  <c r="X89" i="7"/>
  <c r="W89" i="7"/>
  <c r="C50" i="10"/>
  <c r="K18" i="10"/>
  <c r="D50" i="10"/>
  <c r="E50" i="10"/>
  <c r="AB75" i="7"/>
  <c r="AB72" i="7"/>
  <c r="AB50" i="7"/>
  <c r="AB30" i="7"/>
  <c r="AB79" i="7"/>
  <c r="AB78" i="7"/>
  <c r="AB77" i="7"/>
  <c r="AB74" i="7"/>
  <c r="AB73" i="7"/>
  <c r="AB69" i="7"/>
  <c r="AB67" i="7"/>
  <c r="AB55" i="7"/>
  <c r="AB54" i="7"/>
  <c r="AB42" i="7"/>
  <c r="AB40" i="7"/>
  <c r="AB38" i="7"/>
  <c r="AB37" i="7"/>
  <c r="AB26" i="7"/>
  <c r="AB66" i="7"/>
  <c r="AB59" i="7"/>
  <c r="AB39" i="7"/>
  <c r="AB44" i="7"/>
  <c r="AB58" i="7"/>
  <c r="AB71" i="7"/>
  <c r="AB56" i="7"/>
  <c r="Y25" i="7"/>
  <c r="AC25" i="7" s="1"/>
  <c r="AR2" i="7"/>
  <c r="D3" i="10"/>
  <c r="E3" i="10"/>
  <c r="E4" i="10"/>
  <c r="D5" i="10"/>
  <c r="E5" i="10"/>
  <c r="D8" i="10"/>
  <c r="E8" i="10"/>
  <c r="F8" i="10"/>
  <c r="C9" i="10"/>
  <c r="D9" i="10"/>
  <c r="E9" i="10"/>
  <c r="F9" i="10"/>
  <c r="C19" i="10"/>
  <c r="E19" i="10" s="1"/>
  <c r="D19" i="10"/>
  <c r="E23" i="10"/>
  <c r="E24" i="10"/>
  <c r="E43" i="10" s="1"/>
  <c r="D26" i="10"/>
  <c r="F26" i="10"/>
  <c r="C29" i="10"/>
  <c r="C42" i="10" s="1"/>
  <c r="C59" i="10" s="1"/>
  <c r="D29" i="10"/>
  <c r="D42" i="10" s="1"/>
  <c r="D59" i="10" s="1"/>
  <c r="E29" i="10"/>
  <c r="E42" i="10" s="1"/>
  <c r="E59" i="10" s="1"/>
  <c r="F29" i="10"/>
  <c r="F42" i="10" s="1"/>
  <c r="F59" i="10" s="1"/>
  <c r="G29" i="10"/>
  <c r="G42" i="10" s="1"/>
  <c r="G59" i="10" s="1"/>
  <c r="H29" i="10"/>
  <c r="H42" i="10" s="1"/>
  <c r="H59" i="10" s="1"/>
  <c r="D31" i="10"/>
  <c r="D32" i="10"/>
  <c r="E32" i="10"/>
  <c r="C35" i="10"/>
  <c r="C36" i="10"/>
  <c r="C38" i="10"/>
  <c r="F38" i="10"/>
  <c r="C39" i="10"/>
  <c r="F39" i="10"/>
  <c r="E40" i="10"/>
  <c r="B42" i="10"/>
  <c r="B59" i="10" s="1"/>
  <c r="B45" i="10"/>
  <c r="B46" i="10" s="1"/>
  <c r="B47" i="10" s="1"/>
  <c r="B48" i="10" s="1"/>
  <c r="B52" i="10"/>
  <c r="B53" i="10" s="1"/>
  <c r="A55" i="10"/>
  <c r="A71" i="10"/>
  <c r="A72" i="10"/>
  <c r="A73" i="10"/>
  <c r="D75" i="10"/>
  <c r="E75" i="10"/>
  <c r="R65" i="7"/>
  <c r="C2" i="2"/>
  <c r="D2" i="2"/>
  <c r="E2" i="2"/>
  <c r="F2" i="2"/>
  <c r="G2" i="2"/>
  <c r="H2" i="2"/>
  <c r="I2" i="2"/>
  <c r="K2" i="2"/>
  <c r="M2" i="2"/>
  <c r="N2" i="2"/>
  <c r="A9" i="2"/>
  <c r="N15" i="2"/>
  <c r="L30" i="28" s="1"/>
  <c r="F57" i="1"/>
  <c r="F58" i="1"/>
  <c r="F59" i="1"/>
  <c r="F60" i="1"/>
  <c r="F61" i="1"/>
  <c r="F62" i="1"/>
  <c r="F65" i="1"/>
  <c r="F66" i="1"/>
  <c r="F67" i="1"/>
  <c r="F68" i="1"/>
  <c r="F69" i="1"/>
  <c r="F71" i="1"/>
  <c r="F72" i="1"/>
  <c r="F73" i="1"/>
  <c r="F75" i="1"/>
  <c r="F76" i="1"/>
  <c r="A62" i="10" s="1"/>
  <c r="F77" i="1"/>
  <c r="A63" i="10" s="1"/>
  <c r="F78" i="1"/>
  <c r="A64" i="10" s="1"/>
  <c r="F79" i="1"/>
  <c r="F82" i="1"/>
  <c r="F83" i="1"/>
  <c r="F84" i="1"/>
  <c r="F85" i="1"/>
  <c r="F95" i="1"/>
  <c r="F96" i="1"/>
  <c r="A67" i="10" s="1"/>
  <c r="F97" i="1"/>
  <c r="A68" i="10" s="1"/>
  <c r="F98" i="1"/>
  <c r="A69" i="10" s="1"/>
  <c r="G15" i="4"/>
  <c r="C2" i="3"/>
  <c r="E2" i="3"/>
  <c r="F2" i="3"/>
  <c r="G2" i="3"/>
  <c r="H2" i="3"/>
  <c r="K2" i="3"/>
  <c r="L2" i="3"/>
  <c r="M2" i="3"/>
  <c r="S2" i="3"/>
  <c r="T2" i="3"/>
  <c r="K2" i="7"/>
  <c r="F4" i="7"/>
  <c r="G4" i="7"/>
  <c r="E135" i="7" s="1"/>
  <c r="H4" i="7"/>
  <c r="I4" i="7"/>
  <c r="J4" i="7"/>
  <c r="K4" i="7"/>
  <c r="AG25" i="7"/>
  <c r="AK25" i="7" s="1"/>
  <c r="AW25" i="7"/>
  <c r="AD26" i="7"/>
  <c r="AE26" i="7"/>
  <c r="AF26" i="7"/>
  <c r="AW26" i="7"/>
  <c r="Z27" i="7"/>
  <c r="AA27" i="7"/>
  <c r="AD27" i="7"/>
  <c r="AE27" i="7"/>
  <c r="AF27" i="7"/>
  <c r="AW27" i="7"/>
  <c r="S28" i="7"/>
  <c r="V28" i="7"/>
  <c r="AG28" i="7"/>
  <c r="AK28" i="7" s="1"/>
  <c r="AW28" i="7"/>
  <c r="S29" i="7"/>
  <c r="V29" i="7"/>
  <c r="AG29" i="7"/>
  <c r="AK29" i="7" s="1"/>
  <c r="AW29" i="7"/>
  <c r="T30" i="7"/>
  <c r="U30" i="7"/>
  <c r="W30" i="7"/>
  <c r="X30" i="7"/>
  <c r="AD30" i="7"/>
  <c r="AE30" i="7"/>
  <c r="AF30" i="7"/>
  <c r="AH30" i="7"/>
  <c r="AG30" i="7" s="1"/>
  <c r="AW30" i="7"/>
  <c r="S31" i="7"/>
  <c r="V31" i="7"/>
  <c r="AW31" i="7"/>
  <c r="Z32" i="7"/>
  <c r="AA32" i="7"/>
  <c r="AD32" i="7"/>
  <c r="AE32" i="7"/>
  <c r="AF32" i="7"/>
  <c r="AW32" i="7"/>
  <c r="AD33" i="7"/>
  <c r="AE33" i="7"/>
  <c r="AF33" i="7"/>
  <c r="AW33" i="7"/>
  <c r="T34" i="7"/>
  <c r="U34" i="7"/>
  <c r="W34" i="7"/>
  <c r="X34" i="7"/>
  <c r="Z34" i="7"/>
  <c r="AA34" i="7"/>
  <c r="AD34" i="7"/>
  <c r="AE34" i="7"/>
  <c r="AF34" i="7"/>
  <c r="AW34" i="7"/>
  <c r="S35" i="7"/>
  <c r="V35" i="7"/>
  <c r="Z36" i="7"/>
  <c r="AA36" i="7"/>
  <c r="AD36" i="7"/>
  <c r="AE36" i="7"/>
  <c r="AF36" i="7"/>
  <c r="AW36" i="7"/>
  <c r="S37" i="7"/>
  <c r="V37" i="7"/>
  <c r="AW37" i="7"/>
  <c r="S38" i="7"/>
  <c r="V38" i="7"/>
  <c r="AG38" i="7"/>
  <c r="AK38" i="7" s="1"/>
  <c r="AD39" i="7"/>
  <c r="AE39" i="7"/>
  <c r="AF39" i="7"/>
  <c r="AW39" i="7"/>
  <c r="T40" i="7"/>
  <c r="U40" i="7"/>
  <c r="W40" i="7"/>
  <c r="X40" i="7"/>
  <c r="AD40" i="7"/>
  <c r="AE40" i="7"/>
  <c r="AF40" i="7"/>
  <c r="AW40" i="7"/>
  <c r="S41" i="7"/>
  <c r="V41" i="7"/>
  <c r="AG41" i="7"/>
  <c r="AK41" i="7" s="1"/>
  <c r="AW41" i="7"/>
  <c r="S42" i="7"/>
  <c r="V42" i="7"/>
  <c r="AG42" i="7"/>
  <c r="AK42" i="7" s="1"/>
  <c r="AW42" i="7"/>
  <c r="Z43" i="7"/>
  <c r="AA43" i="7"/>
  <c r="AD43" i="7"/>
  <c r="AE43" i="7"/>
  <c r="AF43" i="7"/>
  <c r="AW43" i="7"/>
  <c r="S102" i="7"/>
  <c r="V102" i="7"/>
  <c r="AG102" i="7"/>
  <c r="AK102" i="7" s="1"/>
  <c r="S44" i="7"/>
  <c r="V44" i="7"/>
  <c r="AG44" i="7"/>
  <c r="AK44" i="7" s="1"/>
  <c r="AW44" i="7"/>
  <c r="T45" i="7"/>
  <c r="U45" i="7"/>
  <c r="W45" i="7"/>
  <c r="X45" i="7"/>
  <c r="Z45" i="7"/>
  <c r="AA45" i="7"/>
  <c r="AD45" i="7"/>
  <c r="AE45" i="7"/>
  <c r="AF45" i="7"/>
  <c r="AW45" i="7"/>
  <c r="T46" i="7"/>
  <c r="U46" i="7"/>
  <c r="W46" i="7"/>
  <c r="X46" i="7"/>
  <c r="Z46" i="7"/>
  <c r="AA46" i="7"/>
  <c r="AD46" i="7"/>
  <c r="AE46" i="7"/>
  <c r="AF46" i="7"/>
  <c r="AW46" i="7"/>
  <c r="S47" i="7"/>
  <c r="V47" i="7"/>
  <c r="AG47" i="7"/>
  <c r="AK47" i="7" s="1"/>
  <c r="AW47" i="7"/>
  <c r="Z48" i="7"/>
  <c r="AA48" i="7"/>
  <c r="AD48" i="7"/>
  <c r="AE48" i="7"/>
  <c r="AF48" i="7"/>
  <c r="AW48" i="7"/>
  <c r="AD49" i="7"/>
  <c r="AC49" i="7" s="1"/>
  <c r="AE49" i="7"/>
  <c r="AF49" i="7"/>
  <c r="AH49" i="7"/>
  <c r="AI49" i="7"/>
  <c r="AW49" i="7"/>
  <c r="S50" i="7"/>
  <c r="V50" i="7"/>
  <c r="AG50" i="7"/>
  <c r="AK50" i="7" s="1"/>
  <c r="AW50" i="7"/>
  <c r="Z51" i="7"/>
  <c r="AA51" i="7"/>
  <c r="AD51" i="7"/>
  <c r="AE51" i="7"/>
  <c r="AF51" i="7"/>
  <c r="AW51" i="7"/>
  <c r="S53" i="7"/>
  <c r="V53" i="7"/>
  <c r="AG53" i="7"/>
  <c r="AK53" i="7" s="1"/>
  <c r="AW53" i="7"/>
  <c r="S54" i="7"/>
  <c r="V54" i="7"/>
  <c r="AG54" i="7"/>
  <c r="AK54" i="7" s="1"/>
  <c r="AW54" i="7"/>
  <c r="S55" i="7"/>
  <c r="V55" i="7"/>
  <c r="AG55" i="7"/>
  <c r="AK55" i="7" s="1"/>
  <c r="AW55" i="7"/>
  <c r="S56" i="7"/>
  <c r="V56" i="7"/>
  <c r="AG56" i="7"/>
  <c r="AK56" i="7" s="1"/>
  <c r="AW56" i="7"/>
  <c r="S57" i="7"/>
  <c r="V57" i="7"/>
  <c r="AG57" i="7"/>
  <c r="AK57" i="7" s="1"/>
  <c r="AW57" i="7"/>
  <c r="S58" i="7"/>
  <c r="V58" i="7"/>
  <c r="AG58" i="7"/>
  <c r="AW58" i="7"/>
  <c r="T59" i="7"/>
  <c r="U59" i="7"/>
  <c r="W59" i="7"/>
  <c r="X59" i="7"/>
  <c r="Z59" i="7"/>
  <c r="AA59" i="7"/>
  <c r="AD59" i="7"/>
  <c r="AE59" i="7"/>
  <c r="AF59" i="7"/>
  <c r="AW59" i="7"/>
  <c r="S60" i="7"/>
  <c r="V60" i="7"/>
  <c r="AW60" i="7"/>
  <c r="S61" i="7"/>
  <c r="V61" i="7"/>
  <c r="AG61" i="7"/>
  <c r="AK61" i="7" s="1"/>
  <c r="AW61" i="7"/>
  <c r="Z62" i="7"/>
  <c r="AA62" i="7"/>
  <c r="AD62" i="7"/>
  <c r="AE62" i="7"/>
  <c r="AF62" i="7"/>
  <c r="AW62" i="7"/>
  <c r="T63" i="7"/>
  <c r="U63" i="7"/>
  <c r="W63" i="7"/>
  <c r="X63" i="7"/>
  <c r="Z63" i="7"/>
  <c r="AA63" i="7"/>
  <c r="AD63" i="7"/>
  <c r="AE63" i="7"/>
  <c r="AF63" i="7"/>
  <c r="AW63" i="7"/>
  <c r="S64" i="7"/>
  <c r="V64" i="7"/>
  <c r="AG64" i="7"/>
  <c r="AK64" i="7" s="1"/>
  <c r="AW64" i="7"/>
  <c r="S65" i="7"/>
  <c r="V65" i="7"/>
  <c r="AG65" i="7"/>
  <c r="AK65" i="7" s="1"/>
  <c r="AW65" i="7"/>
  <c r="S66" i="7"/>
  <c r="V66" i="7"/>
  <c r="AG66" i="7"/>
  <c r="AK66" i="7" s="1"/>
  <c r="AW66" i="7"/>
  <c r="S67" i="7"/>
  <c r="V67" i="7"/>
  <c r="AG67" i="7"/>
  <c r="AK67" i="7" s="1"/>
  <c r="AW67" i="7"/>
  <c r="S68" i="7"/>
  <c r="V68" i="7"/>
  <c r="AW68" i="7"/>
  <c r="S69" i="7"/>
  <c r="V69" i="7"/>
  <c r="AG69" i="7"/>
  <c r="AK69" i="7" s="1"/>
  <c r="AW69" i="7"/>
  <c r="T70" i="7"/>
  <c r="U70" i="7"/>
  <c r="W70" i="7"/>
  <c r="X70" i="7"/>
  <c r="Z70" i="7"/>
  <c r="AA70" i="7"/>
  <c r="AD70" i="7"/>
  <c r="AE70" i="7"/>
  <c r="AF70" i="7"/>
  <c r="AW70" i="7"/>
  <c r="S71" i="7"/>
  <c r="V71" i="7"/>
  <c r="AG71" i="7"/>
  <c r="AK71" i="7" s="1"/>
  <c r="AW71" i="7"/>
  <c r="S72" i="7"/>
  <c r="V72" i="7"/>
  <c r="AG72" i="7"/>
  <c r="AK72" i="7" s="1"/>
  <c r="AW72" i="7"/>
  <c r="AD73" i="7"/>
  <c r="AE73" i="7"/>
  <c r="AF73" i="7"/>
  <c r="S74" i="7"/>
  <c r="V74" i="7"/>
  <c r="AG74" i="7"/>
  <c r="AK74" i="7" s="1"/>
  <c r="AW74" i="7"/>
  <c r="T75" i="7"/>
  <c r="U75" i="7"/>
  <c r="W75" i="7"/>
  <c r="X75" i="7"/>
  <c r="Z75" i="7"/>
  <c r="AA75" i="7"/>
  <c r="AD75" i="7"/>
  <c r="AE75" i="7"/>
  <c r="AF75" i="7"/>
  <c r="AW75" i="7"/>
  <c r="T76" i="7"/>
  <c r="U76" i="7"/>
  <c r="W76" i="7"/>
  <c r="X76" i="7"/>
  <c r="Z76" i="7"/>
  <c r="AA76" i="7"/>
  <c r="AD76" i="7"/>
  <c r="AE76" i="7"/>
  <c r="AF76" i="7"/>
  <c r="AW76" i="7"/>
  <c r="Z77" i="7"/>
  <c r="AA77" i="7"/>
  <c r="AD77" i="7"/>
  <c r="AE77" i="7"/>
  <c r="AF77" i="7"/>
  <c r="AW77" i="7"/>
  <c r="S78" i="7"/>
  <c r="V78" i="7"/>
  <c r="AG78" i="7"/>
  <c r="AK78" i="7" s="1"/>
  <c r="AW78" i="7"/>
  <c r="R78" i="7"/>
  <c r="S79" i="7"/>
  <c r="V79" i="7"/>
  <c r="AG79" i="7"/>
  <c r="AK79" i="7" s="1"/>
  <c r="AW79" i="7"/>
  <c r="T80" i="7"/>
  <c r="U80" i="7"/>
  <c r="W80" i="7"/>
  <c r="X80" i="7"/>
  <c r="Z80" i="7"/>
  <c r="AA80" i="7"/>
  <c r="AD80" i="7"/>
  <c r="AE80" i="7"/>
  <c r="AF80" i="7"/>
  <c r="AW80" i="7"/>
  <c r="W81" i="7"/>
  <c r="X81" i="7"/>
  <c r="Z81" i="7"/>
  <c r="AA81" i="7"/>
  <c r="AD81" i="7"/>
  <c r="AE81" i="7"/>
  <c r="AF81" i="7"/>
  <c r="AW81" i="7"/>
  <c r="S82" i="7"/>
  <c r="V82" i="7"/>
  <c r="AG82" i="7"/>
  <c r="AK82" i="7" s="1"/>
  <c r="AW82" i="7"/>
  <c r="S83" i="7"/>
  <c r="V83" i="7"/>
  <c r="AG83" i="7"/>
  <c r="AK83" i="7" s="1"/>
  <c r="AW83" i="7"/>
  <c r="Z84" i="7"/>
  <c r="AA84" i="7"/>
  <c r="AD84" i="7"/>
  <c r="AE84" i="7"/>
  <c r="AF84" i="7"/>
  <c r="AW84" i="7"/>
  <c r="T85" i="7"/>
  <c r="U85" i="7"/>
  <c r="W85" i="7"/>
  <c r="X85" i="7"/>
  <c r="Z85" i="7"/>
  <c r="AA85" i="7"/>
  <c r="AD85" i="7"/>
  <c r="AE85" i="7"/>
  <c r="AF85" i="7"/>
  <c r="AW85" i="7"/>
  <c r="T86" i="7"/>
  <c r="U86" i="7"/>
  <c r="W86" i="7"/>
  <c r="X86" i="7"/>
  <c r="Z86" i="7"/>
  <c r="AA86" i="7"/>
  <c r="AD86" i="7"/>
  <c r="AE86" i="7"/>
  <c r="AF86" i="7"/>
  <c r="AW86" i="7"/>
  <c r="T87" i="7"/>
  <c r="U87" i="7"/>
  <c r="W87" i="7"/>
  <c r="X87" i="7"/>
  <c r="Z87" i="7"/>
  <c r="AA87" i="7"/>
  <c r="AD87" i="7"/>
  <c r="AE87" i="7"/>
  <c r="AF87" i="7"/>
  <c r="AW87" i="7"/>
  <c r="Z88" i="7"/>
  <c r="AA88" i="7"/>
  <c r="AD88" i="7"/>
  <c r="AE88" i="7"/>
  <c r="AF88" i="7"/>
  <c r="AW88" i="7"/>
  <c r="G20" i="4"/>
  <c r="AW124" i="7"/>
  <c r="Z112" i="7"/>
  <c r="AA112" i="7"/>
  <c r="AD112" i="7"/>
  <c r="AE112" i="7"/>
  <c r="AF112" i="7"/>
  <c r="AW112" i="7"/>
  <c r="Z113" i="7"/>
  <c r="AA113" i="7"/>
  <c r="AD113" i="7"/>
  <c r="AE113" i="7"/>
  <c r="AF113" i="7"/>
  <c r="AW113" i="7"/>
  <c r="AW115" i="7"/>
  <c r="S138" i="7"/>
  <c r="V138" i="7"/>
  <c r="Y138" i="7"/>
  <c r="AC138" i="7" s="1"/>
  <c r="AM143" i="7"/>
  <c r="AN143" i="7"/>
  <c r="AO143" i="7"/>
  <c r="AR143" i="7"/>
  <c r="F2" i="6"/>
  <c r="L2" i="6"/>
  <c r="H2" i="6" s="1"/>
  <c r="M2" i="6"/>
  <c r="P2" i="6" s="1"/>
  <c r="N2" i="6"/>
  <c r="Q2" i="6" s="1"/>
  <c r="O2" i="6"/>
  <c r="R2" i="6" s="1"/>
  <c r="H3" i="6"/>
  <c r="K16" i="6"/>
  <c r="O16" i="6"/>
  <c r="L17" i="6"/>
  <c r="L32" i="6" s="1"/>
  <c r="M17" i="6"/>
  <c r="M32" i="6" s="1"/>
  <c r="N17" i="6"/>
  <c r="N32" i="6" s="1"/>
  <c r="O17" i="6"/>
  <c r="O32" i="6" s="1"/>
  <c r="L62" i="7"/>
  <c r="AL62" i="7" s="1"/>
  <c r="L43" i="7"/>
  <c r="AL43" i="7" s="1"/>
  <c r="L27" i="7"/>
  <c r="AL27" i="7" s="1"/>
  <c r="L25" i="7"/>
  <c r="AL25" i="7" s="1"/>
  <c r="L112" i="7"/>
  <c r="L124" i="7"/>
  <c r="M124" i="7"/>
  <c r="M113" i="7"/>
  <c r="L33" i="7"/>
  <c r="AL33" i="7" s="1"/>
  <c r="L49" i="7"/>
  <c r="AL49" i="7" s="1"/>
  <c r="L77" i="7"/>
  <c r="AL77" i="7" s="1"/>
  <c r="L84" i="7"/>
  <c r="AL84" i="7" s="1"/>
  <c r="L73" i="7"/>
  <c r="AL73" i="7" s="1"/>
  <c r="L88" i="7"/>
  <c r="AL88" i="7" s="1"/>
  <c r="L36" i="7"/>
  <c r="AL36" i="7" s="1"/>
  <c r="L113" i="7"/>
  <c r="L26" i="7"/>
  <c r="AL26" i="7" s="1"/>
  <c r="M112" i="7"/>
  <c r="L39" i="7"/>
  <c r="AL39" i="7" s="1"/>
  <c r="L51" i="7"/>
  <c r="AL51" i="7" s="1"/>
  <c r="M62" i="7"/>
  <c r="F8" i="3"/>
  <c r="P74" i="28" s="1"/>
  <c r="R64" i="7"/>
  <c r="D7" i="13"/>
  <c r="I4" i="16" s="1"/>
  <c r="R66" i="7"/>
  <c r="AW38" i="7"/>
  <c r="AW35" i="7"/>
  <c r="R28" i="7"/>
  <c r="R36" i="7"/>
  <c r="R73" i="7"/>
  <c r="AW73" i="7"/>
  <c r="G139" i="7"/>
  <c r="R90" i="7"/>
  <c r="AW90" i="7"/>
  <c r="R88" i="7"/>
  <c r="R84" i="7"/>
  <c r="R40" i="7"/>
  <c r="M21" i="11" l="1"/>
  <c r="M7" i="11"/>
  <c r="H21" i="11"/>
  <c r="H7" i="11"/>
  <c r="P21" i="11"/>
  <c r="P7" i="11"/>
  <c r="N14" i="11"/>
  <c r="N7" i="11"/>
  <c r="O21" i="11"/>
  <c r="O7" i="11"/>
  <c r="J21" i="11"/>
  <c r="J7" i="11"/>
  <c r="Y21" i="11"/>
  <c r="Y7" i="11"/>
  <c r="E21" i="11"/>
  <c r="E7" i="11"/>
  <c r="F14" i="11"/>
  <c r="F7" i="11"/>
  <c r="P86" i="4"/>
  <c r="O86" i="4" s="1"/>
  <c r="P9" i="4"/>
  <c r="AC30" i="7"/>
  <c r="U64" i="4" a="1"/>
  <c r="U64" i="4" s="1"/>
  <c r="U11" i="4" a="1"/>
  <c r="U11" i="4" s="1"/>
  <c r="L16" i="28"/>
  <c r="L24" i="28"/>
  <c r="L23" i="28"/>
  <c r="L22" i="28"/>
  <c r="L19" i="28"/>
  <c r="L17" i="28"/>
  <c r="W12" i="11"/>
  <c r="W22" i="11" s="1"/>
  <c r="O19" i="4"/>
  <c r="I19" i="4" s="1"/>
  <c r="G27" i="6"/>
  <c r="G26" i="6"/>
  <c r="AC40" i="7"/>
  <c r="V32" i="7"/>
  <c r="L32" i="7" s="1"/>
  <c r="AL32" i="7" s="1"/>
  <c r="F9" i="7"/>
  <c r="AG48" i="7"/>
  <c r="AK48" i="7" s="1"/>
  <c r="AG88" i="7"/>
  <c r="AK88" i="7" s="1"/>
  <c r="L107" i="7"/>
  <c r="AL107" i="7" s="1"/>
  <c r="L94" i="7"/>
  <c r="AL94" i="7" s="1"/>
  <c r="Q11" i="11"/>
  <c r="Q28" i="11"/>
  <c r="AB13" i="11"/>
  <c r="AB35" i="11" s="1"/>
  <c r="AB28" i="11"/>
  <c r="AA28" i="11"/>
  <c r="H20" i="11"/>
  <c r="H28" i="11"/>
  <c r="H11" i="11"/>
  <c r="L18" i="28"/>
  <c r="V115" i="7"/>
  <c r="S46" i="7"/>
  <c r="AC33" i="7"/>
  <c r="C30" i="13"/>
  <c r="M5" i="13"/>
  <c r="AG40" i="7"/>
  <c r="AK40" i="7" s="1"/>
  <c r="AG81" i="7"/>
  <c r="AK81" i="7" s="1"/>
  <c r="AG33" i="7"/>
  <c r="M33" i="7" s="1"/>
  <c r="D8" i="13"/>
  <c r="J4" i="16" s="1"/>
  <c r="C20" i="13"/>
  <c r="Q3" i="16" s="1"/>
  <c r="D12" i="13"/>
  <c r="U4" i="16" s="1"/>
  <c r="E30" i="13"/>
  <c r="G30" i="13" s="1"/>
  <c r="D10" i="13"/>
  <c r="L4" i="16" s="1"/>
  <c r="D11" i="13"/>
  <c r="M4" i="16" s="1"/>
  <c r="D39" i="10"/>
  <c r="L90" i="7"/>
  <c r="AL90" i="7" s="1"/>
  <c r="Y114" i="7"/>
  <c r="AC114" i="7" s="1"/>
  <c r="P10" i="4"/>
  <c r="O10" i="4" s="1"/>
  <c r="I10" i="4" s="1"/>
  <c r="P65" i="4"/>
  <c r="I70" i="4" s="1"/>
  <c r="A61" i="10"/>
  <c r="P94" i="4"/>
  <c r="A66" i="10"/>
  <c r="P87" i="4"/>
  <c r="P93" i="4"/>
  <c r="D38" i="10"/>
  <c r="I16" i="19"/>
  <c r="M51" i="7"/>
  <c r="AH60" i="7"/>
  <c r="AI60" i="7"/>
  <c r="M107" i="7"/>
  <c r="M94" i="7"/>
  <c r="L29" i="7"/>
  <c r="AL29" i="7" s="1"/>
  <c r="V59" i="7"/>
  <c r="AG49" i="7"/>
  <c r="M49" i="7" s="1"/>
  <c r="Y85" i="7"/>
  <c r="AC85" i="7" s="1"/>
  <c r="L54" i="7"/>
  <c r="AL54" i="7" s="1"/>
  <c r="Y36" i="7"/>
  <c r="AC36" i="7" s="1"/>
  <c r="V87" i="7"/>
  <c r="V75" i="7"/>
  <c r="L41" i="7"/>
  <c r="AL41" i="7" s="1"/>
  <c r="S40" i="7"/>
  <c r="AG59" i="7"/>
  <c r="AK59" i="7" s="1"/>
  <c r="J17" i="19"/>
  <c r="D6" i="13"/>
  <c r="H4" i="16" s="1"/>
  <c r="J5" i="19"/>
  <c r="Y77" i="7"/>
  <c r="AC77" i="7" s="1"/>
  <c r="V40" i="7"/>
  <c r="L60" i="7"/>
  <c r="AL60" i="7" s="1"/>
  <c r="L50" i="7"/>
  <c r="AL50" i="7" s="1"/>
  <c r="L47" i="7"/>
  <c r="AL47" i="7" s="1"/>
  <c r="Y45" i="7"/>
  <c r="AC45" i="7" s="1"/>
  <c r="S45" i="7"/>
  <c r="L38" i="7"/>
  <c r="AL38" i="7" s="1"/>
  <c r="V34" i="7"/>
  <c r="V30" i="7"/>
  <c r="M25" i="7"/>
  <c r="Y124" i="7"/>
  <c r="AC124" i="7" s="1"/>
  <c r="V80" i="7"/>
  <c r="Y70" i="7"/>
  <c r="AC70" i="7" s="1"/>
  <c r="Y34" i="7"/>
  <c r="AC34" i="7" s="1"/>
  <c r="S30" i="7"/>
  <c r="Y89" i="7"/>
  <c r="AC89" i="7" s="1"/>
  <c r="AG114" i="7"/>
  <c r="AK114" i="7" s="1"/>
  <c r="P3" i="16"/>
  <c r="P5" i="16" s="1"/>
  <c r="S5" i="16" s="1"/>
  <c r="AG63" i="7"/>
  <c r="AK63" i="7" s="1"/>
  <c r="AG80" i="7"/>
  <c r="AK80" i="7" s="1"/>
  <c r="BR11" i="7"/>
  <c r="M11" i="7" s="1"/>
  <c r="F11" i="7"/>
  <c r="AW11" i="7" s="1"/>
  <c r="BL12" i="7"/>
  <c r="BM12" i="7" s="1"/>
  <c r="BO12" i="7" s="1"/>
  <c r="F12" i="7"/>
  <c r="BR18" i="7"/>
  <c r="M18" i="7" s="1"/>
  <c r="F18" i="7"/>
  <c r="M29" i="7"/>
  <c r="Y43" i="7"/>
  <c r="L31" i="7"/>
  <c r="AL31" i="7" s="1"/>
  <c r="E39" i="10"/>
  <c r="J7" i="19"/>
  <c r="L79" i="7"/>
  <c r="AL79" i="7" s="1"/>
  <c r="L67" i="7"/>
  <c r="AL67" i="7" s="1"/>
  <c r="L64" i="7"/>
  <c r="AL64" i="7" s="1"/>
  <c r="BR13" i="7"/>
  <c r="M13" i="7" s="1"/>
  <c r="F13" i="7"/>
  <c r="BR19" i="7"/>
  <c r="BR14" i="7"/>
  <c r="F14" i="7"/>
  <c r="L14" i="7" s="1"/>
  <c r="BR9" i="7"/>
  <c r="M9" i="7" s="1"/>
  <c r="BR15" i="7"/>
  <c r="M15" i="7" s="1"/>
  <c r="F15" i="7"/>
  <c r="BL20" i="7"/>
  <c r="BM20" i="7" s="1"/>
  <c r="BO20" i="7" s="1"/>
  <c r="F20" i="7"/>
  <c r="BR10" i="7"/>
  <c r="M10" i="7" s="1"/>
  <c r="F10" i="7"/>
  <c r="BL16" i="7"/>
  <c r="BM16" i="7" s="1"/>
  <c r="BO16" i="7" s="1"/>
  <c r="F16" i="7"/>
  <c r="AN16" i="7" s="1"/>
  <c r="BR21" i="7"/>
  <c r="M21" i="7" s="1"/>
  <c r="F21" i="7"/>
  <c r="L21" i="7" s="1"/>
  <c r="R3" i="16"/>
  <c r="BL17" i="7"/>
  <c r="BM17" i="7" s="1"/>
  <c r="BO17" i="7" s="1"/>
  <c r="F17" i="7"/>
  <c r="BR22" i="7"/>
  <c r="M22" i="7" s="1"/>
  <c r="F22" i="7"/>
  <c r="L138" i="7"/>
  <c r="V86" i="7"/>
  <c r="Y32" i="7"/>
  <c r="AC32" i="7" s="1"/>
  <c r="M28" i="7"/>
  <c r="L65" i="7"/>
  <c r="AL65" i="7" s="1"/>
  <c r="Y48" i="7"/>
  <c r="M47" i="7"/>
  <c r="Y63" i="7"/>
  <c r="AC63" i="7" s="1"/>
  <c r="M56" i="7"/>
  <c r="AC73" i="7"/>
  <c r="Y84" i="7"/>
  <c r="AC84" i="7" s="1"/>
  <c r="Y76" i="7"/>
  <c r="AC76" i="7" s="1"/>
  <c r="M37" i="7"/>
  <c r="P81" i="4"/>
  <c r="AG45" i="7"/>
  <c r="AK45" i="7" s="1"/>
  <c r="AG86" i="7"/>
  <c r="AK86" i="7" s="1"/>
  <c r="I17" i="19"/>
  <c r="L37" i="7"/>
  <c r="AL37" i="7" s="1"/>
  <c r="L97" i="7"/>
  <c r="AL97" i="7" s="1"/>
  <c r="M58" i="7"/>
  <c r="M55" i="7"/>
  <c r="M44" i="7"/>
  <c r="AC39" i="7"/>
  <c r="AC26" i="7"/>
  <c r="J6" i="19"/>
  <c r="M31" i="7"/>
  <c r="M50" i="7"/>
  <c r="AC115" i="7"/>
  <c r="AG76" i="7"/>
  <c r="AK76" i="7" s="1"/>
  <c r="AU142" i="7"/>
  <c r="AQ142" i="7"/>
  <c r="AS142" i="7"/>
  <c r="I7" i="19"/>
  <c r="M97" i="7"/>
  <c r="L55" i="7"/>
  <c r="AL55" i="7" s="1"/>
  <c r="L61" i="7"/>
  <c r="AL61" i="7" s="1"/>
  <c r="L44" i="7"/>
  <c r="AL44" i="7" s="1"/>
  <c r="M42" i="7"/>
  <c r="AG87" i="7"/>
  <c r="AK87" i="7" s="1"/>
  <c r="M74" i="7"/>
  <c r="M67" i="7"/>
  <c r="V63" i="7"/>
  <c r="L35" i="7"/>
  <c r="AL35" i="7" s="1"/>
  <c r="Y27" i="7"/>
  <c r="AG70" i="7"/>
  <c r="AK70" i="7" s="1"/>
  <c r="I4" i="19"/>
  <c r="M41" i="7"/>
  <c r="L56" i="7"/>
  <c r="AL56" i="7" s="1"/>
  <c r="E38" i="10"/>
  <c r="J4" i="19"/>
  <c r="J18" i="19"/>
  <c r="E8" i="3"/>
  <c r="G14" i="14"/>
  <c r="H13" i="11"/>
  <c r="AO141" i="7"/>
  <c r="AS141" i="7"/>
  <c r="AR141" i="7"/>
  <c r="AU141" i="7"/>
  <c r="AQ141" i="7"/>
  <c r="AV141" i="7"/>
  <c r="AT141" i="7"/>
  <c r="AP141" i="7"/>
  <c r="AO144" i="7"/>
  <c r="AT144" i="7"/>
  <c r="AU144" i="7"/>
  <c r="AQ144" i="7"/>
  <c r="AV144" i="7"/>
  <c r="AM144" i="7"/>
  <c r="AK58" i="7"/>
  <c r="M54" i="7"/>
  <c r="M61" i="7"/>
  <c r="L28" i="7"/>
  <c r="AL28" i="7" s="1"/>
  <c r="I5" i="19"/>
  <c r="G9" i="19"/>
  <c r="M6" i="19" s="1"/>
  <c r="L42" i="7"/>
  <c r="AL42" i="7" s="1"/>
  <c r="Y112" i="7"/>
  <c r="AC112" i="7" s="1"/>
  <c r="S85" i="7"/>
  <c r="AT142" i="7"/>
  <c r="K17" i="19"/>
  <c r="I8" i="19"/>
  <c r="K18" i="19"/>
  <c r="R5" i="11"/>
  <c r="B5" i="11" s="1"/>
  <c r="S115" i="7"/>
  <c r="AG43" i="7"/>
  <c r="M43" i="7" s="1"/>
  <c r="AG89" i="7"/>
  <c r="AK89" i="7" s="1"/>
  <c r="G13" i="14"/>
  <c r="I15" i="19"/>
  <c r="I18" i="19"/>
  <c r="S75" i="7"/>
  <c r="S63" i="7"/>
  <c r="AN142" i="7"/>
  <c r="Q14" i="11"/>
  <c r="AP142" i="7"/>
  <c r="S14" i="11"/>
  <c r="S12" i="11" s="1"/>
  <c r="S22" i="11" s="1"/>
  <c r="BL13" i="7"/>
  <c r="BM13" i="7" s="1"/>
  <c r="BO13" i="7" s="1"/>
  <c r="Y62" i="7"/>
  <c r="AC62" i="7" s="1"/>
  <c r="AG34" i="7"/>
  <c r="AK34" i="7" s="1"/>
  <c r="AG75" i="7"/>
  <c r="AK75" i="7" s="1"/>
  <c r="AG84" i="7"/>
  <c r="AK84" i="7" s="1"/>
  <c r="M108" i="7"/>
  <c r="M65" i="7"/>
  <c r="M64" i="7"/>
  <c r="Y87" i="7"/>
  <c r="AC87" i="7" s="1"/>
  <c r="V85" i="7"/>
  <c r="L83" i="7"/>
  <c r="AL83" i="7" s="1"/>
  <c r="M82" i="7"/>
  <c r="Y80" i="7"/>
  <c r="AC80" i="7" s="1"/>
  <c r="Y75" i="7"/>
  <c r="AC75" i="7" s="1"/>
  <c r="L102" i="7"/>
  <c r="AL102" i="7" s="1"/>
  <c r="AG46" i="7"/>
  <c r="AK46" i="7" s="1"/>
  <c r="M79" i="7"/>
  <c r="S34" i="7"/>
  <c r="M83" i="7"/>
  <c r="M38" i="7"/>
  <c r="BL21" i="7"/>
  <c r="BM21" i="7" s="1"/>
  <c r="BO21" i="7" s="1"/>
  <c r="L108" i="7"/>
  <c r="AL108" i="7" s="1"/>
  <c r="V114" i="7"/>
  <c r="M71" i="7"/>
  <c r="R21" i="11"/>
  <c r="AA11" i="11"/>
  <c r="AA6" i="11" s="1"/>
  <c r="AA21" i="11" s="1"/>
  <c r="N12" i="11"/>
  <c r="N22" i="11" s="1"/>
  <c r="Y113" i="7"/>
  <c r="AC113" i="7" s="1"/>
  <c r="Y81" i="7"/>
  <c r="AC81" i="7" s="1"/>
  <c r="L78" i="7"/>
  <c r="AL78" i="7" s="1"/>
  <c r="V76" i="7"/>
  <c r="M72" i="7"/>
  <c r="L66" i="7"/>
  <c r="AL66" i="7" s="1"/>
  <c r="AK77" i="7"/>
  <c r="AS144" i="7"/>
  <c r="AV142" i="7"/>
  <c r="AP144" i="7"/>
  <c r="Y88" i="7"/>
  <c r="AC88" i="7" s="1"/>
  <c r="L71" i="7"/>
  <c r="AL71" i="7" s="1"/>
  <c r="M69" i="7"/>
  <c r="L68" i="7"/>
  <c r="AL68" i="7" s="1"/>
  <c r="V89" i="7"/>
  <c r="L89" i="7" s="1"/>
  <c r="AL89" i="7" s="1"/>
  <c r="M93" i="7"/>
  <c r="AM142" i="7"/>
  <c r="AR142" i="7"/>
  <c r="M53" i="7"/>
  <c r="Y46" i="7"/>
  <c r="AO142" i="7"/>
  <c r="AN141" i="7"/>
  <c r="Y59" i="7"/>
  <c r="AC59" i="7" s="1"/>
  <c r="V46" i="7"/>
  <c r="Y51" i="7"/>
  <c r="O8" i="16"/>
  <c r="AC27" i="7"/>
  <c r="L72" i="7"/>
  <c r="AL72" i="7" s="1"/>
  <c r="V81" i="7"/>
  <c r="S76" i="7"/>
  <c r="M68" i="7"/>
  <c r="M78" i="7"/>
  <c r="L57" i="7"/>
  <c r="AL57" i="7" s="1"/>
  <c r="L93" i="7"/>
  <c r="AL93" i="7" s="1"/>
  <c r="M138" i="7"/>
  <c r="M57" i="7"/>
  <c r="M102" i="7"/>
  <c r="M35" i="7"/>
  <c r="M90" i="7"/>
  <c r="L69" i="7"/>
  <c r="AL69" i="7" s="1"/>
  <c r="L53" i="7"/>
  <c r="AL53" i="7" s="1"/>
  <c r="V70" i="7"/>
  <c r="AN144" i="7"/>
  <c r="AG39" i="7"/>
  <c r="AK39" i="7" s="1"/>
  <c r="AR144" i="7"/>
  <c r="S86" i="7"/>
  <c r="S87" i="7"/>
  <c r="S70" i="7"/>
  <c r="BN19" i="7"/>
  <c r="BS19" i="7" s="1"/>
  <c r="BL18" i="7"/>
  <c r="BM18" i="7" s="1"/>
  <c r="BO18" i="7" s="1"/>
  <c r="Y86" i="7"/>
  <c r="AC86" i="7" s="1"/>
  <c r="L82" i="7"/>
  <c r="AL82" i="7" s="1"/>
  <c r="N9" i="16"/>
  <c r="N8" i="16"/>
  <c r="N10" i="16"/>
  <c r="AB20" i="11"/>
  <c r="AB11" i="11"/>
  <c r="AB6" i="11" s="1"/>
  <c r="F12" i="11"/>
  <c r="F22" i="11" s="1"/>
  <c r="AA20" i="11"/>
  <c r="R14" i="11"/>
  <c r="AA13" i="11"/>
  <c r="AA35" i="11" s="1"/>
  <c r="M22" i="11"/>
  <c r="Y23" i="11"/>
  <c r="E14" i="11"/>
  <c r="E23" i="11"/>
  <c r="J23" i="11"/>
  <c r="Q13" i="11"/>
  <c r="P14" i="11"/>
  <c r="P12" i="11" s="1"/>
  <c r="Q20" i="11"/>
  <c r="P23" i="11"/>
  <c r="K12" i="11"/>
  <c r="K22" i="11" s="1"/>
  <c r="O23" i="11"/>
  <c r="BL11" i="7"/>
  <c r="BM11" i="7" s="1"/>
  <c r="BO11" i="7" s="1"/>
  <c r="BL19" i="7"/>
  <c r="BM19" i="7" s="1"/>
  <c r="BR17" i="7"/>
  <c r="M17" i="7" s="1"/>
  <c r="R11" i="16"/>
  <c r="O10" i="16"/>
  <c r="Q11" i="16"/>
  <c r="O9" i="16"/>
  <c r="Q10" i="16"/>
  <c r="Q8" i="16"/>
  <c r="S59" i="7"/>
  <c r="L58" i="7"/>
  <c r="AL58" i="7" s="1"/>
  <c r="BL22" i="7"/>
  <c r="BM22" i="7" s="1"/>
  <c r="BO22" i="7" s="1"/>
  <c r="BO8" i="7"/>
  <c r="S80" i="7"/>
  <c r="M66" i="7"/>
  <c r="AG36" i="7"/>
  <c r="M36" i="7" s="1"/>
  <c r="BS8" i="7"/>
  <c r="M8" i="7" s="1"/>
  <c r="BL14" i="7"/>
  <c r="BM14" i="7" s="1"/>
  <c r="BO14" i="7" s="1"/>
  <c r="L74" i="7"/>
  <c r="AL74" i="7" s="1"/>
  <c r="V45" i="7"/>
  <c r="AK30" i="7"/>
  <c r="L95" i="7"/>
  <c r="AL95" i="7" s="1"/>
  <c r="AG32" i="7"/>
  <c r="AK32" i="7" s="1"/>
  <c r="M73" i="7"/>
  <c r="M95" i="7"/>
  <c r="BL10" i="7"/>
  <c r="BM10" i="7" s="1"/>
  <c r="BO10" i="7" s="1"/>
  <c r="BS14" i="7"/>
  <c r="M96" i="7"/>
  <c r="W21" i="11"/>
  <c r="W23" i="11" s="1"/>
  <c r="W14" i="11"/>
  <c r="AC21" i="11"/>
  <c r="AC23" i="11" s="1"/>
  <c r="J14" i="11"/>
  <c r="AD21" i="11"/>
  <c r="D9" i="16"/>
  <c r="D11" i="16"/>
  <c r="V14" i="11"/>
  <c r="I6" i="11"/>
  <c r="I7" i="11" s="1"/>
  <c r="D10" i="16"/>
  <c r="L14" i="11"/>
  <c r="L12" i="11" s="1"/>
  <c r="Y14" i="11"/>
  <c r="AD12" i="11"/>
  <c r="AD22" i="11" s="1"/>
  <c r="T14" i="11"/>
  <c r="T12" i="11" s="1"/>
  <c r="T22" i="11" s="1"/>
  <c r="H14" i="11"/>
  <c r="L8" i="16"/>
  <c r="L10" i="16"/>
  <c r="L9" i="16"/>
  <c r="L11" i="16"/>
  <c r="U21" i="11"/>
  <c r="U23" i="11" s="1"/>
  <c r="U14" i="11"/>
  <c r="T10" i="16"/>
  <c r="J8" i="14" s="1"/>
  <c r="T11" i="16"/>
  <c r="K8" i="14" s="1"/>
  <c r="T9" i="16"/>
  <c r="I8" i="14" s="1"/>
  <c r="T8" i="16"/>
  <c r="H8" i="14" s="1"/>
  <c r="L10" i="13" s="1"/>
  <c r="Z21" i="11"/>
  <c r="Z23" i="11" s="1"/>
  <c r="Z14" i="11"/>
  <c r="AE21" i="11"/>
  <c r="AE14" i="11"/>
  <c r="AE12" i="11" s="1"/>
  <c r="AE22" i="11" s="1"/>
  <c r="X14" i="11"/>
  <c r="X21" i="11"/>
  <c r="R9" i="16"/>
  <c r="G6" i="11"/>
  <c r="G7" i="11" s="1"/>
  <c r="M14" i="11"/>
  <c r="F21" i="11"/>
  <c r="T21" i="11"/>
  <c r="L21" i="11"/>
  <c r="AC14" i="11"/>
  <c r="S21" i="11"/>
  <c r="K21" i="11"/>
  <c r="O14" i="11"/>
  <c r="O12" i="11" s="1"/>
  <c r="O22" i="11" s="1"/>
  <c r="R10" i="16"/>
  <c r="V21" i="11"/>
  <c r="V23" i="11" s="1"/>
  <c r="N21" i="11"/>
  <c r="I10" i="16"/>
  <c r="I8" i="16"/>
  <c r="I9" i="16"/>
  <c r="I11" i="16"/>
  <c r="H9" i="16"/>
  <c r="H8" i="16"/>
  <c r="H11" i="16"/>
  <c r="H10" i="16"/>
  <c r="G37" i="6"/>
  <c r="G43" i="6" s="1"/>
  <c r="G8" i="16"/>
  <c r="G10" i="16"/>
  <c r="G9" i="16"/>
  <c r="G11" i="16"/>
  <c r="C13" i="14"/>
  <c r="G18" i="6"/>
  <c r="G33" i="6"/>
  <c r="M10" i="16"/>
  <c r="M9" i="16"/>
  <c r="M8" i="16"/>
  <c r="M11" i="16"/>
  <c r="F10" i="16"/>
  <c r="F9" i="16"/>
  <c r="F11" i="16"/>
  <c r="F8" i="16"/>
  <c r="C14" i="14"/>
  <c r="AK115" i="7"/>
  <c r="E8" i="16"/>
  <c r="E9" i="16"/>
  <c r="E11" i="16"/>
  <c r="E10" i="16"/>
  <c r="K8" i="16"/>
  <c r="K9" i="16"/>
  <c r="K11" i="16"/>
  <c r="K10" i="16"/>
  <c r="G20" i="6"/>
  <c r="G35" i="6"/>
  <c r="H35" i="6" s="1"/>
  <c r="AN8" i="7"/>
  <c r="L8" i="7"/>
  <c r="AO8" i="7"/>
  <c r="AW8" i="7"/>
  <c r="J10" i="16"/>
  <c r="J8" i="16"/>
  <c r="J11" i="16"/>
  <c r="J9" i="16"/>
  <c r="C8" i="16"/>
  <c r="C9" i="16"/>
  <c r="C11" i="16"/>
  <c r="C10" i="16"/>
  <c r="L96" i="7"/>
  <c r="AL96" i="7" s="1"/>
  <c r="BR12" i="7"/>
  <c r="M12" i="7" s="1"/>
  <c r="BR16" i="7"/>
  <c r="M16" i="7" s="1"/>
  <c r="BR20" i="7"/>
  <c r="M20" i="7" s="1"/>
  <c r="BL15" i="7"/>
  <c r="BM15" i="7" s="1"/>
  <c r="BO15" i="7" s="1"/>
  <c r="BL9" i="7"/>
  <c r="BM9" i="7" s="1"/>
  <c r="BO9" i="7" s="1"/>
  <c r="AB14" i="11" l="1"/>
  <c r="AB7" i="11"/>
  <c r="B7" i="11" s="1"/>
  <c r="G107" i="1" a="1"/>
  <c r="G107" i="1" s="1"/>
  <c r="U29" i="4" s="1"/>
  <c r="L11" i="7"/>
  <c r="L45" i="7"/>
  <c r="AL45" i="7" s="1"/>
  <c r="O65" i="4"/>
  <c r="I65" i="4" s="1"/>
  <c r="O70" i="4"/>
  <c r="O94" i="4"/>
  <c r="O93" i="4"/>
  <c r="O81" i="4"/>
  <c r="I81" i="4" s="1"/>
  <c r="E56" i="10" a="1"/>
  <c r="E56" i="10" s="1"/>
  <c r="I86" i="4"/>
  <c r="O87" i="4"/>
  <c r="AF4" i="11"/>
  <c r="AX52" i="7" s="1"/>
  <c r="AB4" i="11"/>
  <c r="X4" i="11"/>
  <c r="AX38" i="7" s="1"/>
  <c r="T4" i="11"/>
  <c r="P4" i="11"/>
  <c r="AX68" i="7" s="1"/>
  <c r="L4" i="11"/>
  <c r="H4" i="11"/>
  <c r="AX44" i="7" s="1"/>
  <c r="BD44" i="7" s="1"/>
  <c r="Z4" i="11"/>
  <c r="AX31" i="7" s="1"/>
  <c r="V4" i="11"/>
  <c r="AX83" i="7" s="1"/>
  <c r="R83" i="7" s="1"/>
  <c r="N4" i="11"/>
  <c r="J4" i="11"/>
  <c r="AX69" i="7" s="1"/>
  <c r="AE4" i="11"/>
  <c r="AA4" i="11"/>
  <c r="AX42" i="7" s="1"/>
  <c r="W4" i="11"/>
  <c r="AX73" i="7" s="1"/>
  <c r="S4" i="11"/>
  <c r="O4" i="11"/>
  <c r="AX61" i="7" s="1"/>
  <c r="K4" i="11"/>
  <c r="G4" i="11"/>
  <c r="AX43" i="7" s="1"/>
  <c r="F4" i="11"/>
  <c r="AC4" i="11"/>
  <c r="AX46" i="7" s="1"/>
  <c r="Y4" i="11"/>
  <c r="AX26" i="7" s="1"/>
  <c r="U4" i="11"/>
  <c r="M4" i="11"/>
  <c r="AX57" i="7" s="1"/>
  <c r="I4" i="11"/>
  <c r="E4" i="11"/>
  <c r="AD4" i="11"/>
  <c r="AX51" i="7" s="1"/>
  <c r="Q4" i="11"/>
  <c r="AX71" i="7" s="1"/>
  <c r="H107" i="1" a="1"/>
  <c r="H107" i="1" s="1"/>
  <c r="Q9" i="4" s="1"/>
  <c r="V4" i="16"/>
  <c r="L46" i="7"/>
  <c r="AL46" i="7" s="1"/>
  <c r="M88" i="7"/>
  <c r="R11" i="11"/>
  <c r="B11" i="11" s="1"/>
  <c r="R20" i="11"/>
  <c r="C23" i="13"/>
  <c r="O3" i="16"/>
  <c r="N3" i="16"/>
  <c r="M48" i="7"/>
  <c r="AA14" i="11"/>
  <c r="AA36" i="11" s="1"/>
  <c r="B6" i="11"/>
  <c r="O9" i="4"/>
  <c r="I9" i="4" s="1"/>
  <c r="G25" i="6"/>
  <c r="L75" i="7"/>
  <c r="AL75" i="7" s="1"/>
  <c r="M81" i="7"/>
  <c r="L34" i="7"/>
  <c r="AL34" i="7" s="1"/>
  <c r="AK33" i="7"/>
  <c r="M115" i="7"/>
  <c r="R13" i="11"/>
  <c r="R12" i="11" s="1"/>
  <c r="R22" i="11" s="1"/>
  <c r="R28" i="11"/>
  <c r="R29" i="11" s="1"/>
  <c r="B29" i="11" s="1"/>
  <c r="B4" i="11" s="1"/>
  <c r="Y12" i="11"/>
  <c r="Y36" i="11"/>
  <c r="AC12" i="11"/>
  <c r="AC22" i="11" s="1"/>
  <c r="AC36" i="11"/>
  <c r="Z12" i="11"/>
  <c r="Z36" i="11"/>
  <c r="AB12" i="11"/>
  <c r="AB22" i="11" s="1"/>
  <c r="AB36" i="11"/>
  <c r="X12" i="11"/>
  <c r="X36" i="11"/>
  <c r="M86" i="7"/>
  <c r="L15" i="28"/>
  <c r="AB21" i="11"/>
  <c r="AB23" i="11" s="1"/>
  <c r="BD57" i="7"/>
  <c r="AZ57" i="7"/>
  <c r="BA57" i="7"/>
  <c r="BB57" i="7"/>
  <c r="BC57" i="7"/>
  <c r="BD68" i="7"/>
  <c r="AZ68" i="7"/>
  <c r="BA68" i="7"/>
  <c r="BB68" i="7"/>
  <c r="BC68" i="7"/>
  <c r="BD43" i="7"/>
  <c r="BB43" i="7"/>
  <c r="BC43" i="7"/>
  <c r="AZ43" i="7"/>
  <c r="BA43" i="7"/>
  <c r="R42" i="7"/>
  <c r="BD42" i="7"/>
  <c r="AZ42" i="7"/>
  <c r="BA42" i="7"/>
  <c r="BB42" i="7"/>
  <c r="BC42" i="7"/>
  <c r="BD71" i="7"/>
  <c r="AZ71" i="7"/>
  <c r="BA71" i="7"/>
  <c r="BB71" i="7"/>
  <c r="BC71" i="7"/>
  <c r="J19" i="19"/>
  <c r="AG60" i="7"/>
  <c r="AK60" i="7" s="1"/>
  <c r="C56" i="10" a="1"/>
  <c r="C56" i="10" s="1"/>
  <c r="P4" i="28"/>
  <c r="E3" i="25" s="1"/>
  <c r="E31" i="25" s="1"/>
  <c r="L4" i="28"/>
  <c r="D3" i="25" s="1"/>
  <c r="D31" i="25" s="1"/>
  <c r="D7" i="2"/>
  <c r="L10" i="28" s="1"/>
  <c r="F56" i="10" a="1"/>
  <c r="F56" i="10" s="1"/>
  <c r="D56" i="10" a="1"/>
  <c r="D56" i="10" s="1"/>
  <c r="G56" i="10" a="1"/>
  <c r="G56" i="10" s="1"/>
  <c r="H56" i="10" a="1"/>
  <c r="H56" i="10" s="1"/>
  <c r="AR137" i="7"/>
  <c r="AR52" i="7" s="1"/>
  <c r="H72" i="10" a="1"/>
  <c r="H72" i="10" s="1"/>
  <c r="J72" i="10"/>
  <c r="C72" i="10" a="1"/>
  <c r="C72" i="10" s="1"/>
  <c r="D72" i="10" a="1"/>
  <c r="D72" i="10" s="1"/>
  <c r="E72" i="10" a="1"/>
  <c r="E72" i="10" s="1"/>
  <c r="F72" i="10" a="1"/>
  <c r="F72" i="10" s="1"/>
  <c r="G72" i="10" a="1"/>
  <c r="G72" i="10" s="1"/>
  <c r="H73" i="10" a="1"/>
  <c r="H73" i="10" s="1"/>
  <c r="J73" i="10"/>
  <c r="C73" i="10" a="1"/>
  <c r="C73" i="10" s="1"/>
  <c r="D73" i="10" a="1"/>
  <c r="D73" i="10" s="1"/>
  <c r="E73" i="10" a="1"/>
  <c r="E73" i="10" s="1"/>
  <c r="F73" i="10" a="1"/>
  <c r="F73" i="10" s="1"/>
  <c r="P90" i="4"/>
  <c r="I8" i="3" s="1"/>
  <c r="G73" i="10" a="1"/>
  <c r="G73" i="10" s="1"/>
  <c r="M8" i="3"/>
  <c r="H57" i="10" a="1"/>
  <c r="H57" i="10" s="1"/>
  <c r="D57" i="10" a="1"/>
  <c r="D57" i="10" s="1"/>
  <c r="F57" i="10" a="1"/>
  <c r="F57" i="10" s="1"/>
  <c r="C57" i="10" a="1"/>
  <c r="C57" i="10" s="1"/>
  <c r="E57" i="10" a="1"/>
  <c r="E57" i="10" s="1"/>
  <c r="G57" i="10" a="1"/>
  <c r="G57" i="10" s="1"/>
  <c r="M14" i="7"/>
  <c r="M19" i="7"/>
  <c r="I37" i="6"/>
  <c r="M63" i="7"/>
  <c r="AK49" i="7"/>
  <c r="L70" i="7"/>
  <c r="AL70" i="7" s="1"/>
  <c r="L86" i="7"/>
  <c r="AL86" i="7" s="1"/>
  <c r="M34" i="7"/>
  <c r="L115" i="7"/>
  <c r="AL115" i="7" s="1"/>
  <c r="M30" i="7"/>
  <c r="M40" i="7"/>
  <c r="L85" i="7"/>
  <c r="AL85" i="7" s="1"/>
  <c r="AC51" i="7"/>
  <c r="M89" i="7"/>
  <c r="L40" i="7"/>
  <c r="AL40" i="7" s="1"/>
  <c r="M114" i="7"/>
  <c r="L30" i="7"/>
  <c r="AL30" i="7" s="1"/>
  <c r="P7" i="16"/>
  <c r="P9" i="16" s="1"/>
  <c r="M80" i="7"/>
  <c r="M87" i="7"/>
  <c r="AC48" i="7"/>
  <c r="F19" i="7"/>
  <c r="F126" i="7" s="1"/>
  <c r="AC46" i="7"/>
  <c r="AC43" i="7"/>
  <c r="M59" i="7"/>
  <c r="M70" i="7"/>
  <c r="M85" i="7"/>
  <c r="G34" i="6"/>
  <c r="H34" i="6" s="1"/>
  <c r="P73" i="28"/>
  <c r="L114" i="7"/>
  <c r="AK43" i="7"/>
  <c r="M75" i="7"/>
  <c r="L76" i="7"/>
  <c r="AL76" i="7" s="1"/>
  <c r="I9" i="19"/>
  <c r="I11" i="19" s="1"/>
  <c r="K7" i="19"/>
  <c r="M7" i="19"/>
  <c r="AW22" i="7"/>
  <c r="M5" i="19"/>
  <c r="L63" i="7"/>
  <c r="AL63" i="7" s="1"/>
  <c r="J9" i="19"/>
  <c r="J11" i="19" s="1"/>
  <c r="G19" i="6"/>
  <c r="I19" i="19"/>
  <c r="L87" i="7"/>
  <c r="AL87" i="7" s="1"/>
  <c r="K19" i="19"/>
  <c r="L59" i="7"/>
  <c r="AL59" i="7" s="1"/>
  <c r="AO11" i="7"/>
  <c r="AN11" i="7"/>
  <c r="M32" i="7"/>
  <c r="AK36" i="7"/>
  <c r="L81" i="7"/>
  <c r="AL81" i="7" s="1"/>
  <c r="M84" i="7"/>
  <c r="K5" i="19"/>
  <c r="M4" i="19"/>
  <c r="K6" i="19"/>
  <c r="K8" i="19"/>
  <c r="M8" i="19"/>
  <c r="K4" i="19"/>
  <c r="AO14" i="7"/>
  <c r="AN14" i="7"/>
  <c r="AW14" i="7"/>
  <c r="BO19" i="7"/>
  <c r="M46" i="7"/>
  <c r="I21" i="11"/>
  <c r="I23" i="11" s="1"/>
  <c r="I14" i="11"/>
  <c r="I12" i="11" s="1"/>
  <c r="I22" i="11" s="1"/>
  <c r="AO21" i="7"/>
  <c r="AW21" i="7"/>
  <c r="AN21" i="7"/>
  <c r="AW16" i="7"/>
  <c r="M39" i="7"/>
  <c r="M76" i="7"/>
  <c r="L80" i="7"/>
  <c r="AL80" i="7" s="1"/>
  <c r="AN22" i="7"/>
  <c r="M45" i="7"/>
  <c r="L22" i="11"/>
  <c r="P22" i="11"/>
  <c r="AA12" i="11"/>
  <c r="Q12" i="11"/>
  <c r="Q22" i="11" s="1"/>
  <c r="U12" i="11"/>
  <c r="U22" i="11" s="1"/>
  <c r="J12" i="11"/>
  <c r="J22" i="11" s="1"/>
  <c r="E12" i="11"/>
  <c r="E22" i="11" s="1"/>
  <c r="H12" i="11"/>
  <c r="H22" i="11" s="1"/>
  <c r="AE23" i="11"/>
  <c r="AO22" i="7"/>
  <c r="L22" i="7"/>
  <c r="AL22" i="7" s="1"/>
  <c r="L17" i="7"/>
  <c r="AW17" i="7"/>
  <c r="AN17" i="7"/>
  <c r="AO17" i="7"/>
  <c r="L16" i="7"/>
  <c r="AL16" i="7" s="1"/>
  <c r="AW10" i="7"/>
  <c r="AO10" i="7"/>
  <c r="AN10" i="7"/>
  <c r="L10" i="7"/>
  <c r="AW13" i="7"/>
  <c r="AO13" i="7"/>
  <c r="L13" i="7"/>
  <c r="AN13" i="7"/>
  <c r="AO16" i="7"/>
  <c r="I4" i="14"/>
  <c r="G21" i="11"/>
  <c r="G14" i="11"/>
  <c r="G12" i="11" s="1"/>
  <c r="J4" i="14"/>
  <c r="AZ44" i="7"/>
  <c r="BA44" i="7"/>
  <c r="BB44" i="7"/>
  <c r="BC44" i="7"/>
  <c r="K4" i="14"/>
  <c r="G22" i="6"/>
  <c r="L9" i="7"/>
  <c r="AO9" i="7"/>
  <c r="AN9" i="7"/>
  <c r="AW9" i="7"/>
  <c r="H4" i="14"/>
  <c r="C29" i="14"/>
  <c r="I13" i="14"/>
  <c r="H13" i="14"/>
  <c r="K13" i="14"/>
  <c r="J13" i="14"/>
  <c r="AM21" i="7"/>
  <c r="AL21" i="7"/>
  <c r="C30" i="14"/>
  <c r="I14" i="14"/>
  <c r="K14" i="14"/>
  <c r="H14" i="14"/>
  <c r="J14" i="14"/>
  <c r="J5" i="14"/>
  <c r="AM14" i="7"/>
  <c r="AL14" i="7"/>
  <c r="K5" i="14"/>
  <c r="L20" i="7"/>
  <c r="AW20" i="7"/>
  <c r="AO20" i="7"/>
  <c r="AN20" i="7"/>
  <c r="L18" i="7"/>
  <c r="AW18" i="7"/>
  <c r="AO18" i="7"/>
  <c r="AN18" i="7"/>
  <c r="AM11" i="7"/>
  <c r="AL11" i="7"/>
  <c r="H5" i="14"/>
  <c r="L15" i="7"/>
  <c r="AW15" i="7"/>
  <c r="AO15" i="7"/>
  <c r="AN15" i="7"/>
  <c r="I5" i="14"/>
  <c r="AL8" i="7"/>
  <c r="AM8" i="7"/>
  <c r="H33" i="6"/>
  <c r="AW12" i="7"/>
  <c r="AN12" i="7"/>
  <c r="L12" i="7"/>
  <c r="AO12" i="7"/>
  <c r="Z15" i="4" l="1"/>
  <c r="R4" i="11"/>
  <c r="I93" i="4"/>
  <c r="I94" i="4"/>
  <c r="BD52" i="7"/>
  <c r="R52" i="7"/>
  <c r="I87" i="4"/>
  <c r="AP104" i="7"/>
  <c r="AP94" i="7"/>
  <c r="AP84" i="7"/>
  <c r="AP76" i="7"/>
  <c r="AP68" i="7"/>
  <c r="AP52" i="7"/>
  <c r="AP44" i="7"/>
  <c r="AP36" i="7"/>
  <c r="AP28" i="7"/>
  <c r="AP18" i="7"/>
  <c r="AP10" i="7"/>
  <c r="AP67" i="7"/>
  <c r="AP51" i="7"/>
  <c r="AP35" i="7"/>
  <c r="AP17" i="7"/>
  <c r="AP115" i="7"/>
  <c r="AP103" i="7"/>
  <c r="AP93" i="7"/>
  <c r="AP83" i="7"/>
  <c r="AP75" i="7"/>
  <c r="AP59" i="7"/>
  <c r="AP43" i="7"/>
  <c r="AP27" i="7"/>
  <c r="AP114" i="7"/>
  <c r="AP102" i="7"/>
  <c r="AP90" i="7"/>
  <c r="AP82" i="7"/>
  <c r="AP74" i="7"/>
  <c r="AP66" i="7"/>
  <c r="AP58" i="7"/>
  <c r="AP50" i="7"/>
  <c r="AP42" i="7"/>
  <c r="AP34" i="7"/>
  <c r="AP26" i="7"/>
  <c r="AP16" i="7"/>
  <c r="AP8" i="7"/>
  <c r="AP77" i="7"/>
  <c r="AP37" i="7"/>
  <c r="AP9" i="7"/>
  <c r="AP113" i="7"/>
  <c r="AP101" i="7"/>
  <c r="AP89" i="7"/>
  <c r="AP81" i="7"/>
  <c r="AP73" i="7"/>
  <c r="AP65" i="7"/>
  <c r="AP57" i="7"/>
  <c r="AP49" i="7"/>
  <c r="AP41" i="7"/>
  <c r="AP33" i="7"/>
  <c r="AP25" i="7"/>
  <c r="AP15" i="7"/>
  <c r="AP95" i="7"/>
  <c r="AP45" i="7"/>
  <c r="AP112" i="7"/>
  <c r="AP100" i="7"/>
  <c r="AP88" i="7"/>
  <c r="AP80" i="7"/>
  <c r="AP72" i="7"/>
  <c r="AP64" i="7"/>
  <c r="AP56" i="7"/>
  <c r="AP48" i="7"/>
  <c r="AP40" i="7"/>
  <c r="AP32" i="7"/>
  <c r="AP22" i="7"/>
  <c r="AP14" i="7"/>
  <c r="AP69" i="7"/>
  <c r="AP11" i="7"/>
  <c r="AP111" i="7"/>
  <c r="AP97" i="7"/>
  <c r="AP87" i="7"/>
  <c r="AP79" i="7"/>
  <c r="AP71" i="7"/>
  <c r="AP63" i="7"/>
  <c r="AP55" i="7"/>
  <c r="AP47" i="7"/>
  <c r="AP39" i="7"/>
  <c r="AP31" i="7"/>
  <c r="AP21" i="7"/>
  <c r="AP13" i="7"/>
  <c r="AP85" i="7"/>
  <c r="AP53" i="7"/>
  <c r="AP19" i="7"/>
  <c r="AP108" i="7"/>
  <c r="AP96" i="7"/>
  <c r="AP86" i="7"/>
  <c r="AP78" i="7"/>
  <c r="AP70" i="7"/>
  <c r="AP62" i="7"/>
  <c r="AP54" i="7"/>
  <c r="AP46" i="7"/>
  <c r="AP38" i="7"/>
  <c r="AP30" i="7"/>
  <c r="AP20" i="7"/>
  <c r="AP12" i="7"/>
  <c r="AP107" i="7"/>
  <c r="AP61" i="7"/>
  <c r="AP29" i="7"/>
  <c r="A31" i="11"/>
  <c r="K5" i="2" s="1" a="1"/>
  <c r="K5" i="2" s="1"/>
  <c r="G117" i="7"/>
  <c r="G92" i="7"/>
  <c r="G110" i="7"/>
  <c r="G24" i="7"/>
  <c r="G106" i="7"/>
  <c r="G99" i="7"/>
  <c r="G6" i="7"/>
  <c r="R44" i="7"/>
  <c r="AX64" i="7"/>
  <c r="B23" i="11"/>
  <c r="Y22" i="11"/>
  <c r="X22" i="11"/>
  <c r="G22" i="11"/>
  <c r="B12" i="11"/>
  <c r="AX25" i="7"/>
  <c r="BD25" i="7" s="1"/>
  <c r="AX56" i="7"/>
  <c r="BC56" i="7" s="1"/>
  <c r="AX65" i="7"/>
  <c r="AV79" i="7"/>
  <c r="AV52" i="7"/>
  <c r="AU89" i="7"/>
  <c r="AU52" i="7"/>
  <c r="AT38" i="7"/>
  <c r="AT52" i="7"/>
  <c r="AX60" i="7"/>
  <c r="BD60" i="7" s="1"/>
  <c r="Z22" i="11"/>
  <c r="L14" i="28"/>
  <c r="M60" i="7"/>
  <c r="M126" i="7" s="1"/>
  <c r="O58" i="4" s="1"/>
  <c r="AU38" i="7"/>
  <c r="AZ56" i="7"/>
  <c r="BB56" i="7"/>
  <c r="AU47" i="7"/>
  <c r="BA56" i="7"/>
  <c r="AU51" i="7"/>
  <c r="BD31" i="7"/>
  <c r="AZ31" i="7"/>
  <c r="BA31" i="7"/>
  <c r="BB31" i="7"/>
  <c r="BC31" i="7"/>
  <c r="BD38" i="7"/>
  <c r="BB38" i="7"/>
  <c r="AZ38" i="7"/>
  <c r="BA38" i="7"/>
  <c r="BC38" i="7"/>
  <c r="BD83" i="7"/>
  <c r="BA83" i="7"/>
  <c r="BB83" i="7"/>
  <c r="BC83" i="7"/>
  <c r="AZ83" i="7"/>
  <c r="BD61" i="7"/>
  <c r="AZ61" i="7"/>
  <c r="BA61" i="7"/>
  <c r="BB61" i="7"/>
  <c r="BC61" i="7"/>
  <c r="BD69" i="7"/>
  <c r="AZ69" i="7"/>
  <c r="BA69" i="7"/>
  <c r="BB69" i="7"/>
  <c r="BC69" i="7"/>
  <c r="BD51" i="7"/>
  <c r="BA51" i="7"/>
  <c r="BB51" i="7"/>
  <c r="BC51" i="7"/>
  <c r="AZ51" i="7"/>
  <c r="BD73" i="7"/>
  <c r="BA73" i="7"/>
  <c r="BB73" i="7"/>
  <c r="BC73" i="7"/>
  <c r="AZ73" i="7"/>
  <c r="BD46" i="7"/>
  <c r="AZ46" i="7"/>
  <c r="BA46" i="7"/>
  <c r="BB46" i="7"/>
  <c r="BC46" i="7"/>
  <c r="BD26" i="7"/>
  <c r="BA26" i="7"/>
  <c r="AZ26" i="7"/>
  <c r="BB26" i="7"/>
  <c r="BC26" i="7"/>
  <c r="BD64" i="7"/>
  <c r="AZ64" i="7"/>
  <c r="BA64" i="7"/>
  <c r="BB64" i="7"/>
  <c r="BC64" i="7"/>
  <c r="R56" i="7"/>
  <c r="BD56" i="7"/>
  <c r="BD65" i="7"/>
  <c r="AZ65" i="7"/>
  <c r="BA65" i="7"/>
  <c r="BC65" i="7"/>
  <c r="BB65" i="7"/>
  <c r="G7" i="28"/>
  <c r="AV30" i="7"/>
  <c r="AV49" i="7"/>
  <c r="AV58" i="7"/>
  <c r="AV85" i="7"/>
  <c r="AV43" i="7"/>
  <c r="I7" i="2"/>
  <c r="AU95" i="7"/>
  <c r="AV69" i="7"/>
  <c r="AU56" i="7"/>
  <c r="AV108" i="7"/>
  <c r="AU30" i="7"/>
  <c r="AU81" i="7"/>
  <c r="AV51" i="7"/>
  <c r="AU59" i="7"/>
  <c r="AV95" i="7"/>
  <c r="AV46" i="7"/>
  <c r="AU42" i="7"/>
  <c r="AU77" i="7"/>
  <c r="AV80" i="7"/>
  <c r="AU75" i="7"/>
  <c r="AT64" i="7"/>
  <c r="AT60" i="7"/>
  <c r="AV96" i="7"/>
  <c r="AU93" i="7"/>
  <c r="AT33" i="7"/>
  <c r="AT83" i="7"/>
  <c r="AT86" i="7"/>
  <c r="AU104" i="7"/>
  <c r="AV38" i="7"/>
  <c r="AU39" i="7"/>
  <c r="AV57" i="7"/>
  <c r="AT96" i="7"/>
  <c r="AT40" i="7"/>
  <c r="AT45" i="7"/>
  <c r="AT46" i="7"/>
  <c r="AX62" i="7"/>
  <c r="BD62" i="7" s="1"/>
  <c r="AT72" i="7"/>
  <c r="AT76" i="7"/>
  <c r="AT55" i="7"/>
  <c r="AU48" i="7"/>
  <c r="AT29" i="7"/>
  <c r="AT58" i="7"/>
  <c r="AU27" i="7"/>
  <c r="AU62" i="7"/>
  <c r="AU82" i="7"/>
  <c r="AU86" i="7"/>
  <c r="AT79" i="7"/>
  <c r="AT57" i="7"/>
  <c r="AT54" i="7"/>
  <c r="AU46" i="7"/>
  <c r="AT74" i="7"/>
  <c r="AT47" i="7"/>
  <c r="AU55" i="7"/>
  <c r="AU33" i="7"/>
  <c r="AU108" i="7"/>
  <c r="AT66" i="7"/>
  <c r="AT56" i="7"/>
  <c r="AU53" i="7"/>
  <c r="AU74" i="7"/>
  <c r="AU87" i="7"/>
  <c r="AU69" i="7"/>
  <c r="AT43" i="7"/>
  <c r="AU88" i="7"/>
  <c r="AU32" i="7"/>
  <c r="AU41" i="7"/>
  <c r="AU67" i="7"/>
  <c r="AU70" i="7"/>
  <c r="AU84" i="7"/>
  <c r="AU54" i="7"/>
  <c r="AU34" i="7"/>
  <c r="AT59" i="7"/>
  <c r="AU85" i="7"/>
  <c r="AU101" i="7"/>
  <c r="AU57" i="7"/>
  <c r="AU102" i="7"/>
  <c r="AT70" i="7"/>
  <c r="AU90" i="7"/>
  <c r="AU45" i="7"/>
  <c r="AT42" i="7"/>
  <c r="AT28" i="7"/>
  <c r="AU96" i="7"/>
  <c r="AT101" i="7"/>
  <c r="AT27" i="7"/>
  <c r="AT102" i="7"/>
  <c r="AT71" i="7"/>
  <c r="AT34" i="7"/>
  <c r="G8" i="28"/>
  <c r="AW6" i="7"/>
  <c r="D4" i="11"/>
  <c r="AX6" i="7"/>
  <c r="AV32" i="7"/>
  <c r="AV64" i="7"/>
  <c r="AT82" i="7"/>
  <c r="AT67" i="7"/>
  <c r="AV100" i="7"/>
  <c r="AT44" i="7"/>
  <c r="AT108" i="7"/>
  <c r="AT93" i="7"/>
  <c r="AT75" i="7"/>
  <c r="AV26" i="7"/>
  <c r="AT31" i="7"/>
  <c r="AV73" i="7"/>
  <c r="AT35" i="7"/>
  <c r="AT41" i="7"/>
  <c r="AT87" i="7"/>
  <c r="AT103" i="7"/>
  <c r="AV97" i="7"/>
  <c r="AV34" i="7"/>
  <c r="AV36" i="7"/>
  <c r="AT26" i="7"/>
  <c r="AT84" i="7"/>
  <c r="AT97" i="7"/>
  <c r="AT51" i="7"/>
  <c r="AV60" i="7"/>
  <c r="AT25" i="7"/>
  <c r="AV83" i="7"/>
  <c r="AT107" i="7"/>
  <c r="AT104" i="7"/>
  <c r="AT50" i="7"/>
  <c r="AV27" i="7"/>
  <c r="AT89" i="7"/>
  <c r="AV48" i="7"/>
  <c r="AU72" i="7"/>
  <c r="AU107" i="7"/>
  <c r="AT88" i="7"/>
  <c r="AT68" i="7"/>
  <c r="AT36" i="7"/>
  <c r="AT81" i="7"/>
  <c r="AT63" i="7"/>
  <c r="AV68" i="7"/>
  <c r="AV94" i="7"/>
  <c r="AT95" i="7"/>
  <c r="AV33" i="7"/>
  <c r="AT100" i="7"/>
  <c r="AT48" i="7"/>
  <c r="AT80" i="7"/>
  <c r="AT94" i="7"/>
  <c r="AV37" i="7"/>
  <c r="AT49" i="7"/>
  <c r="AV59" i="7"/>
  <c r="AT90" i="7"/>
  <c r="AV62" i="7"/>
  <c r="AV87" i="7"/>
  <c r="AT85" i="7"/>
  <c r="AT77" i="7"/>
  <c r="L12" i="28"/>
  <c r="L13" i="28"/>
  <c r="AV102" i="7"/>
  <c r="AV70" i="7"/>
  <c r="AT62" i="7"/>
  <c r="AT32" i="7"/>
  <c r="AT30" i="7"/>
  <c r="AT78" i="7"/>
  <c r="AV63" i="7"/>
  <c r="AT37" i="7"/>
  <c r="AT53" i="7"/>
  <c r="AU79" i="7"/>
  <c r="AT65" i="7"/>
  <c r="AU36" i="7"/>
  <c r="AU43" i="7"/>
  <c r="AT69" i="7"/>
  <c r="AT39" i="7"/>
  <c r="AT61" i="7"/>
  <c r="AT73" i="7"/>
  <c r="AV104" i="7"/>
  <c r="AU64" i="7"/>
  <c r="AU73" i="7"/>
  <c r="AV76" i="7"/>
  <c r="AV35" i="7"/>
  <c r="AV71" i="7"/>
  <c r="AV78" i="7"/>
  <c r="AV84" i="7"/>
  <c r="AV65" i="7"/>
  <c r="AV56" i="7"/>
  <c r="AV29" i="7"/>
  <c r="AV81" i="7"/>
  <c r="AV72" i="7"/>
  <c r="AV89" i="7"/>
  <c r="AV45" i="7"/>
  <c r="AV93" i="7"/>
  <c r="AV25" i="7"/>
  <c r="AV47" i="7"/>
  <c r="AV61" i="7"/>
  <c r="AV77" i="7"/>
  <c r="AV103" i="7"/>
  <c r="AV44" i="7"/>
  <c r="AV55" i="7"/>
  <c r="AV88" i="7"/>
  <c r="AV101" i="7"/>
  <c r="AV90" i="7"/>
  <c r="AV74" i="7"/>
  <c r="AV31" i="7"/>
  <c r="AV53" i="7"/>
  <c r="AV86" i="7"/>
  <c r="AV75" i="7"/>
  <c r="AV54" i="7"/>
  <c r="AV39" i="7"/>
  <c r="AV41" i="7"/>
  <c r="AU97" i="7"/>
  <c r="AU76" i="7"/>
  <c r="AV67" i="7"/>
  <c r="AV28" i="7"/>
  <c r="AU65" i="7"/>
  <c r="AV107" i="7"/>
  <c r="AU66" i="7"/>
  <c r="AV50" i="7"/>
  <c r="AU25" i="7"/>
  <c r="AU71" i="7"/>
  <c r="AV42" i="7"/>
  <c r="AV40" i="7"/>
  <c r="AU100" i="7"/>
  <c r="AV66" i="7"/>
  <c r="AV82" i="7"/>
  <c r="AU49" i="7"/>
  <c r="AU37" i="7"/>
  <c r="AU80" i="7"/>
  <c r="AU83" i="7"/>
  <c r="AU103" i="7"/>
  <c r="AU58" i="7"/>
  <c r="AU61" i="7"/>
  <c r="AU94" i="7"/>
  <c r="AU29" i="7"/>
  <c r="AU50" i="7"/>
  <c r="AU44" i="7"/>
  <c r="AU28" i="7"/>
  <c r="AU63" i="7"/>
  <c r="AU78" i="7"/>
  <c r="AU35" i="7"/>
  <c r="AU31" i="7"/>
  <c r="AU26" i="7"/>
  <c r="AU60" i="7"/>
  <c r="AU40" i="7"/>
  <c r="AU68" i="7"/>
  <c r="L29" i="28"/>
  <c r="L26" i="28"/>
  <c r="L28" i="28"/>
  <c r="L25" i="28"/>
  <c r="L27" i="28"/>
  <c r="P77" i="28"/>
  <c r="P81" i="28"/>
  <c r="F129" i="7"/>
  <c r="F128" i="7"/>
  <c r="H15" i="4"/>
  <c r="AW19" i="7"/>
  <c r="S7" i="16"/>
  <c r="S8" i="16" s="1"/>
  <c r="P11" i="16"/>
  <c r="P10" i="16"/>
  <c r="P8" i="16"/>
  <c r="R62" i="7"/>
  <c r="AZ62" i="7"/>
  <c r="BB62" i="7"/>
  <c r="BA62" i="7"/>
  <c r="BC62" i="7"/>
  <c r="F139" i="7"/>
  <c r="C13" i="2" s="1"/>
  <c r="E13" i="2" s="1"/>
  <c r="E7" i="2" s="1"/>
  <c r="L11" i="28" s="1"/>
  <c r="K9" i="19"/>
  <c r="K10" i="19" s="1"/>
  <c r="AL137" i="7"/>
  <c r="J10" i="19"/>
  <c r="I34" i="6"/>
  <c r="I35" i="6"/>
  <c r="I33" i="6"/>
  <c r="I36" i="6"/>
  <c r="AX37" i="7"/>
  <c r="R37" i="7" s="1"/>
  <c r="AX45" i="7"/>
  <c r="AX30" i="7"/>
  <c r="BD30" i="7" s="1"/>
  <c r="AN19" i="7"/>
  <c r="AN126" i="7" s="1"/>
  <c r="L19" i="7"/>
  <c r="L126" i="7" s="1"/>
  <c r="AO19" i="7"/>
  <c r="AO126" i="7" s="1"/>
  <c r="BC60" i="7"/>
  <c r="AM22" i="7"/>
  <c r="AA22" i="11"/>
  <c r="AM16" i="7"/>
  <c r="AM17" i="7"/>
  <c r="AL17" i="7"/>
  <c r="AM10" i="7"/>
  <c r="AL10" i="7"/>
  <c r="AM13" i="7"/>
  <c r="AL13" i="7"/>
  <c r="AX78" i="7"/>
  <c r="AX35" i="7"/>
  <c r="R35" i="7" s="1"/>
  <c r="AZ30" i="7"/>
  <c r="AX66" i="7"/>
  <c r="AX50" i="7"/>
  <c r="R50" i="7" s="1"/>
  <c r="AX75" i="7"/>
  <c r="R102" i="7"/>
  <c r="AX72" i="7"/>
  <c r="AX90" i="7"/>
  <c r="AX39" i="7"/>
  <c r="AX58" i="7"/>
  <c r="AL9" i="7"/>
  <c r="AM9" i="7"/>
  <c r="AM15" i="7"/>
  <c r="AL15" i="7"/>
  <c r="L7" i="13"/>
  <c r="AM12" i="7"/>
  <c r="AL12" i="7"/>
  <c r="AL20" i="7"/>
  <c r="AM20" i="7"/>
  <c r="L6" i="13"/>
  <c r="AL18" i="7"/>
  <c r="AM18" i="7"/>
  <c r="D30" i="14"/>
  <c r="I30" i="14"/>
  <c r="H30" i="14"/>
  <c r="J30" i="14"/>
  <c r="K30" i="14"/>
  <c r="D29" i="14"/>
  <c r="C31" i="14"/>
  <c r="H29" i="14"/>
  <c r="I29" i="14"/>
  <c r="K29" i="14"/>
  <c r="J29" i="14"/>
  <c r="AP60" i="7" l="1"/>
  <c r="I5" i="2" a="1"/>
  <c r="I5" i="2" s="1"/>
  <c r="L5" i="2" a="1"/>
  <c r="L5" i="2" s="1"/>
  <c r="J5" i="2" a="1"/>
  <c r="J5" i="2" s="1"/>
  <c r="R16" i="4"/>
  <c r="K8" i="3"/>
  <c r="P79" i="28" s="1"/>
  <c r="H4" i="3" a="1"/>
  <c r="H4" i="3" s="1"/>
  <c r="H8" i="3" s="1"/>
  <c r="BC25" i="7"/>
  <c r="G5" i="2" a="1"/>
  <c r="G5" i="2" s="1"/>
  <c r="F5" i="2" a="1"/>
  <c r="F5" i="2" s="1"/>
  <c r="F7" i="2" s="1"/>
  <c r="L31" i="28" s="1"/>
  <c r="H5" i="2" a="1"/>
  <c r="H5" i="2" s="1"/>
  <c r="BB25" i="7"/>
  <c r="BA25" i="7"/>
  <c r="G137" i="7"/>
  <c r="F137" i="7" s="1"/>
  <c r="G138" i="7"/>
  <c r="F138" i="7" s="1"/>
  <c r="G126" i="7"/>
  <c r="R25" i="7"/>
  <c r="F130" i="7"/>
  <c r="K11" i="19"/>
  <c r="BB60" i="7"/>
  <c r="BA60" i="7"/>
  <c r="AZ60" i="7"/>
  <c r="R60" i="7"/>
  <c r="BE121" i="7"/>
  <c r="BE52" i="7"/>
  <c r="R30" i="7"/>
  <c r="BB30" i="7"/>
  <c r="BD66" i="7"/>
  <c r="AZ66" i="7"/>
  <c r="BA66" i="7"/>
  <c r="BC66" i="7"/>
  <c r="BB66" i="7"/>
  <c r="BD39" i="7"/>
  <c r="AZ39" i="7"/>
  <c r="BA39" i="7"/>
  <c r="BB39" i="7"/>
  <c r="BC39" i="7"/>
  <c r="BC30" i="7"/>
  <c r="BD35" i="7"/>
  <c r="BB35" i="7"/>
  <c r="BA35" i="7"/>
  <c r="BC35" i="7"/>
  <c r="AZ35" i="7"/>
  <c r="BA30" i="7"/>
  <c r="BD45" i="7"/>
  <c r="AZ45" i="7"/>
  <c r="BA45" i="7"/>
  <c r="BB45" i="7"/>
  <c r="BC45" i="7"/>
  <c r="BD90" i="7"/>
  <c r="BA90" i="7"/>
  <c r="BC90" i="7"/>
  <c r="BB90" i="7"/>
  <c r="AZ90" i="7"/>
  <c r="BD72" i="7"/>
  <c r="AZ72" i="7"/>
  <c r="BA72" i="7"/>
  <c r="BB72" i="7"/>
  <c r="BC72" i="7"/>
  <c r="BD75" i="7"/>
  <c r="AZ75" i="7"/>
  <c r="BA75" i="7"/>
  <c r="BB75" i="7"/>
  <c r="BC75" i="7"/>
  <c r="BD37" i="7"/>
  <c r="BC37" i="7"/>
  <c r="AZ37" i="7"/>
  <c r="BA37" i="7"/>
  <c r="BB37" i="7"/>
  <c r="BD50" i="7"/>
  <c r="BC50" i="7"/>
  <c r="AZ50" i="7"/>
  <c r="BA50" i="7"/>
  <c r="BB50" i="7"/>
  <c r="BD58" i="7"/>
  <c r="AZ58" i="7"/>
  <c r="BA58" i="7"/>
  <c r="BB58" i="7"/>
  <c r="BC58" i="7"/>
  <c r="BD78" i="7"/>
  <c r="BA78" i="7"/>
  <c r="BB78" i="7"/>
  <c r="BC78" i="7"/>
  <c r="AZ78" i="7"/>
  <c r="L34" i="28"/>
  <c r="AT126" i="7"/>
  <c r="AT146" i="7" s="1"/>
  <c r="AU126" i="7"/>
  <c r="AU149" i="7" s="1"/>
  <c r="AV126" i="7"/>
  <c r="AV149" i="7" s="1"/>
  <c r="BE123" i="7"/>
  <c r="BE117" i="7"/>
  <c r="BE120" i="7"/>
  <c r="BE118" i="7"/>
  <c r="BE119" i="7"/>
  <c r="I139" i="7"/>
  <c r="BE92" i="7"/>
  <c r="BE100" i="7"/>
  <c r="BE111" i="7"/>
  <c r="S10" i="16"/>
  <c r="J7" i="14" s="1"/>
  <c r="S9" i="16"/>
  <c r="I7" i="14" s="1"/>
  <c r="H7" i="14"/>
  <c r="L9" i="13" s="1"/>
  <c r="S11" i="16"/>
  <c r="K7" i="14" s="1"/>
  <c r="C7" i="2"/>
  <c r="AO148" i="7"/>
  <c r="P92" i="28"/>
  <c r="AN146" i="7"/>
  <c r="P93" i="28"/>
  <c r="L12" i="19"/>
  <c r="BE36" i="7"/>
  <c r="BE84" i="7"/>
  <c r="BE13" i="7"/>
  <c r="BE21" i="7"/>
  <c r="BE113" i="7"/>
  <c r="BE55" i="7"/>
  <c r="BE41" i="7"/>
  <c r="BE22" i="7"/>
  <c r="BE74" i="7"/>
  <c r="BE45" i="7"/>
  <c r="H24" i="4"/>
  <c r="AO147" i="7"/>
  <c r="AO146" i="7"/>
  <c r="BE24" i="7"/>
  <c r="BE29" i="7"/>
  <c r="BE94" i="7"/>
  <c r="BE80" i="7"/>
  <c r="BE54" i="7"/>
  <c r="BE40" i="7"/>
  <c r="BE69" i="7"/>
  <c r="BE93" i="7"/>
  <c r="BE82" i="7"/>
  <c r="BE95" i="7"/>
  <c r="BE104" i="7"/>
  <c r="P58" i="4"/>
  <c r="BE30" i="7"/>
  <c r="BE96" i="7"/>
  <c r="BE25" i="7"/>
  <c r="BE61" i="7"/>
  <c r="BE108" i="7"/>
  <c r="BE37" i="7"/>
  <c r="BE79" i="7"/>
  <c r="BE59" i="7"/>
  <c r="BE73" i="7"/>
  <c r="BE46" i="7"/>
  <c r="BE71" i="7"/>
  <c r="BE12" i="7"/>
  <c r="BE47" i="7"/>
  <c r="BE19" i="7"/>
  <c r="BE107" i="7"/>
  <c r="BE26" i="7"/>
  <c r="BE89" i="7"/>
  <c r="BE65" i="7"/>
  <c r="BE97" i="7"/>
  <c r="BE49" i="7"/>
  <c r="BE43" i="7"/>
  <c r="BE48" i="7"/>
  <c r="BE64" i="7"/>
  <c r="BE115" i="7"/>
  <c r="BE8" i="7"/>
  <c r="BE16" i="7"/>
  <c r="BE102" i="7"/>
  <c r="BE66" i="7"/>
  <c r="BE83" i="7"/>
  <c r="BE56" i="7"/>
  <c r="BE9" i="7"/>
  <c r="BE10" i="7"/>
  <c r="BE18" i="7"/>
  <c r="BE86" i="7"/>
  <c r="BE114" i="7"/>
  <c r="BE57" i="7"/>
  <c r="BE27" i="7"/>
  <c r="BE31" i="7"/>
  <c r="BE17" i="7"/>
  <c r="BE110" i="7"/>
  <c r="BE81" i="7"/>
  <c r="BE14" i="7"/>
  <c r="BE124" i="7"/>
  <c r="BE63" i="7"/>
  <c r="BE51" i="7"/>
  <c r="BE50" i="7"/>
  <c r="BE67" i="7"/>
  <c r="BE78" i="7"/>
  <c r="BE42" i="7"/>
  <c r="BE85" i="7"/>
  <c r="BE34" i="7"/>
  <c r="BE39" i="7"/>
  <c r="BE70" i="7"/>
  <c r="BE99" i="7"/>
  <c r="BE20" i="7"/>
  <c r="BE32" i="7"/>
  <c r="BE62" i="7"/>
  <c r="BE28" i="7"/>
  <c r="BE33" i="7"/>
  <c r="BE53" i="7"/>
  <c r="BE68" i="7"/>
  <c r="BE60" i="7"/>
  <c r="BE38" i="7"/>
  <c r="BE44" i="7"/>
  <c r="BE75" i="7"/>
  <c r="BE87" i="7"/>
  <c r="BE103" i="7"/>
  <c r="BE126" i="7"/>
  <c r="BE15" i="7"/>
  <c r="BE112" i="7"/>
  <c r="BE35" i="7"/>
  <c r="BE58" i="7"/>
  <c r="BE11" i="7"/>
  <c r="BE77" i="7"/>
  <c r="BE72" i="7"/>
  <c r="BE88" i="7"/>
  <c r="BE90" i="7"/>
  <c r="BE106" i="7"/>
  <c r="BE76" i="7"/>
  <c r="BE101" i="7"/>
  <c r="AM19" i="7"/>
  <c r="AM126" i="7" s="1"/>
  <c r="AL19" i="7"/>
  <c r="AX27" i="7"/>
  <c r="R27" i="7" s="1"/>
  <c r="AX59" i="7"/>
  <c r="R59" i="7" s="1"/>
  <c r="AX28" i="7"/>
  <c r="AX32" i="7"/>
  <c r="AX48" i="7"/>
  <c r="AX87" i="7"/>
  <c r="AX80" i="7"/>
  <c r="AX81" i="7"/>
  <c r="AX76" i="7"/>
  <c r="R76" i="7" s="1"/>
  <c r="AX86" i="7"/>
  <c r="AX53" i="7"/>
  <c r="AX84" i="7"/>
  <c r="AX55" i="7"/>
  <c r="AX74" i="7"/>
  <c r="AX36" i="7"/>
  <c r="AX70" i="7"/>
  <c r="AX82" i="7"/>
  <c r="AX33" i="7"/>
  <c r="AX89" i="7"/>
  <c r="AX29" i="7"/>
  <c r="R29" i="7" s="1"/>
  <c r="AX40" i="7"/>
  <c r="AX49" i="7"/>
  <c r="AX79" i="7"/>
  <c r="BD79" i="7" s="1"/>
  <c r="AX88" i="7"/>
  <c r="AX41" i="7"/>
  <c r="AX63" i="7"/>
  <c r="AX77" i="7"/>
  <c r="BD77" i="7" s="1"/>
  <c r="AX47" i="7"/>
  <c r="AX54" i="7"/>
  <c r="AX34" i="7"/>
  <c r="AX67" i="7"/>
  <c r="AX85" i="7"/>
  <c r="AO149" i="7"/>
  <c r="AN148" i="7"/>
  <c r="AN147" i="7"/>
  <c r="AN149" i="7"/>
  <c r="E30" i="14"/>
  <c r="D31" i="14"/>
  <c r="E29" i="14"/>
  <c r="E31" i="14" s="1"/>
  <c r="I58" i="4" l="1"/>
  <c r="L9" i="28"/>
  <c r="J11" i="3"/>
  <c r="J8" i="3" s="1"/>
  <c r="G23" i="6"/>
  <c r="O24" i="4"/>
  <c r="I24" i="4" s="1"/>
  <c r="P76" i="28"/>
  <c r="L90" i="28"/>
  <c r="BD27" i="7"/>
  <c r="AZ27" i="7"/>
  <c r="BA27" i="7"/>
  <c r="BB27" i="7"/>
  <c r="BC27" i="7"/>
  <c r="BD85" i="7"/>
  <c r="BB85" i="7"/>
  <c r="BC85" i="7"/>
  <c r="AZ85" i="7"/>
  <c r="BA85" i="7"/>
  <c r="BD70" i="7"/>
  <c r="AZ70" i="7"/>
  <c r="BA70" i="7"/>
  <c r="BB70" i="7"/>
  <c r="BC70" i="7"/>
  <c r="BD81" i="7"/>
  <c r="BC81" i="7"/>
  <c r="AZ81" i="7"/>
  <c r="BA81" i="7"/>
  <c r="BB81" i="7"/>
  <c r="BD67" i="7"/>
  <c r="AZ67" i="7"/>
  <c r="BA67" i="7"/>
  <c r="BB67" i="7"/>
  <c r="BC67" i="7"/>
  <c r="BD36" i="7"/>
  <c r="BB36" i="7"/>
  <c r="BC36" i="7"/>
  <c r="AZ36" i="7"/>
  <c r="BA36" i="7"/>
  <c r="BD80" i="7"/>
  <c r="AZ80" i="7"/>
  <c r="BA80" i="7"/>
  <c r="BB80" i="7"/>
  <c r="BC80" i="7"/>
  <c r="R63" i="7"/>
  <c r="BD63" i="7"/>
  <c r="AZ63" i="7"/>
  <c r="BA63" i="7"/>
  <c r="BB63" i="7"/>
  <c r="BC63" i="7"/>
  <c r="BD74" i="7"/>
  <c r="AZ74" i="7"/>
  <c r="BA74" i="7"/>
  <c r="BB74" i="7"/>
  <c r="BC74" i="7"/>
  <c r="BD87" i="7"/>
  <c r="AZ87" i="7"/>
  <c r="BA87" i="7"/>
  <c r="BB87" i="7"/>
  <c r="BC87" i="7"/>
  <c r="BD33" i="7"/>
  <c r="BC33" i="7"/>
  <c r="AZ33" i="7"/>
  <c r="BA33" i="7"/>
  <c r="BB33" i="7"/>
  <c r="BD34" i="7"/>
  <c r="AZ34" i="7"/>
  <c r="BA34" i="7"/>
  <c r="BB34" i="7"/>
  <c r="BC34" i="7"/>
  <c r="BD40" i="7"/>
  <c r="BA40" i="7"/>
  <c r="BC40" i="7"/>
  <c r="AZ40" i="7"/>
  <c r="BB40" i="7"/>
  <c r="BD48" i="7"/>
  <c r="AZ48" i="7"/>
  <c r="BA48" i="7"/>
  <c r="BB48" i="7"/>
  <c r="BC48" i="7"/>
  <c r="BD82" i="7"/>
  <c r="BC82" i="7"/>
  <c r="AZ82" i="7"/>
  <c r="BA82" i="7"/>
  <c r="BB82" i="7"/>
  <c r="BD54" i="7"/>
  <c r="BA54" i="7"/>
  <c r="BB54" i="7"/>
  <c r="BC54" i="7"/>
  <c r="AZ54" i="7"/>
  <c r="BD47" i="7"/>
  <c r="AZ47" i="7"/>
  <c r="BA47" i="7"/>
  <c r="BB47" i="7"/>
  <c r="BC47" i="7"/>
  <c r="BD84" i="7"/>
  <c r="BB84" i="7"/>
  <c r="BC84" i="7"/>
  <c r="AZ84" i="7"/>
  <c r="BA84" i="7"/>
  <c r="BD86" i="7"/>
  <c r="AZ86" i="7"/>
  <c r="BA86" i="7"/>
  <c r="BB86" i="7"/>
  <c r="BC86" i="7"/>
  <c r="BD49" i="7"/>
  <c r="BC49" i="7"/>
  <c r="AZ49" i="7"/>
  <c r="BA49" i="7"/>
  <c r="BB49" i="7"/>
  <c r="BD55" i="7"/>
  <c r="BA55" i="7"/>
  <c r="BB55" i="7"/>
  <c r="BC55" i="7"/>
  <c r="AZ55" i="7"/>
  <c r="BD29" i="7"/>
  <c r="AZ29" i="7"/>
  <c r="BA29" i="7"/>
  <c r="BB29" i="7"/>
  <c r="BC29" i="7"/>
  <c r="BD32" i="7"/>
  <c r="BC32" i="7"/>
  <c r="AZ32" i="7"/>
  <c r="BA32" i="7"/>
  <c r="BB32" i="7"/>
  <c r="BD89" i="7"/>
  <c r="BC89" i="7"/>
  <c r="BB89" i="7"/>
  <c r="BA89" i="7"/>
  <c r="AZ89" i="7"/>
  <c r="BD53" i="7"/>
  <c r="BA53" i="7"/>
  <c r="BB53" i="7"/>
  <c r="BC53" i="7"/>
  <c r="AZ53" i="7"/>
  <c r="BD28" i="7"/>
  <c r="AZ28" i="7"/>
  <c r="BA28" i="7"/>
  <c r="BB28" i="7"/>
  <c r="BC28" i="7"/>
  <c r="BD59" i="7"/>
  <c r="BA59" i="7"/>
  <c r="AZ59" i="7"/>
  <c r="BC59" i="7"/>
  <c r="BB59" i="7"/>
  <c r="R41" i="7"/>
  <c r="BD41" i="7"/>
  <c r="BC41" i="7"/>
  <c r="AZ41" i="7"/>
  <c r="BA41" i="7"/>
  <c r="BB41" i="7"/>
  <c r="BD76" i="7"/>
  <c r="AZ76" i="7"/>
  <c r="BA76" i="7"/>
  <c r="BB76" i="7"/>
  <c r="BC76" i="7"/>
  <c r="BD88" i="7"/>
  <c r="AZ88" i="7"/>
  <c r="BA88" i="7"/>
  <c r="BB88" i="7"/>
  <c r="BC88" i="7"/>
  <c r="AT148" i="7"/>
  <c r="AT149" i="7"/>
  <c r="AT147" i="7"/>
  <c r="AU146" i="7"/>
  <c r="AU147" i="7"/>
  <c r="AU148" i="7"/>
  <c r="L95" i="28"/>
  <c r="AV148" i="7"/>
  <c r="L96" i="28"/>
  <c r="AV147" i="7"/>
  <c r="AV146" i="7"/>
  <c r="AM147" i="7"/>
  <c r="P87" i="28"/>
  <c r="R79" i="7"/>
  <c r="AZ79" i="7"/>
  <c r="BA79" i="7"/>
  <c r="BB79" i="7"/>
  <c r="BC79" i="7"/>
  <c r="R77" i="7"/>
  <c r="BB77" i="7"/>
  <c r="BC77" i="7"/>
  <c r="AZ77" i="7"/>
  <c r="BA77" i="7"/>
  <c r="AM148" i="7"/>
  <c r="AM146" i="7"/>
  <c r="AM149" i="7"/>
  <c r="F55" i="28"/>
  <c r="AJ76" i="28"/>
  <c r="AL71" i="28"/>
  <c r="J69" i="28"/>
  <c r="AL19" i="28"/>
  <c r="AL13" i="28"/>
  <c r="AI76" i="28"/>
  <c r="AI74" i="28"/>
  <c r="AL25" i="28"/>
  <c r="J75" i="28"/>
  <c r="F41" i="28"/>
  <c r="AK81" i="28"/>
  <c r="AC25" i="28"/>
  <c r="G57" i="28"/>
  <c r="G62" i="28"/>
  <c r="AI35" i="28"/>
  <c r="AK84" i="28"/>
  <c r="J18" i="28"/>
  <c r="AK83" i="28"/>
  <c r="K81" i="28"/>
  <c r="G36" i="28"/>
  <c r="J55" i="28"/>
  <c r="AH21" i="28"/>
  <c r="F79" i="28"/>
  <c r="AJ23" i="28"/>
  <c r="AL17" i="28"/>
  <c r="AH64" i="28"/>
  <c r="F51" i="28"/>
  <c r="K26" i="28"/>
  <c r="K51" i="28"/>
  <c r="AL9" i="28"/>
  <c r="F23" i="28"/>
  <c r="AC27" i="28"/>
  <c r="J68" i="28"/>
  <c r="AI77" i="28"/>
  <c r="AJ71" i="28"/>
  <c r="AI32" i="28"/>
  <c r="F39" i="28"/>
  <c r="G67" i="28"/>
  <c r="J77" i="28"/>
  <c r="AJ26" i="28"/>
  <c r="J45" i="28"/>
  <c r="J73" i="28"/>
  <c r="AH72" i="28"/>
  <c r="J46" i="28"/>
  <c r="G69" i="28"/>
  <c r="J23" i="28"/>
  <c r="AL69" i="28"/>
  <c r="AH15" i="28"/>
  <c r="AL12" i="28"/>
  <c r="AK22" i="28"/>
  <c r="G81" i="28"/>
  <c r="AC67" i="28"/>
  <c r="J43" i="28"/>
  <c r="AK11" i="28"/>
  <c r="AJ24" i="28"/>
  <c r="J42" i="28"/>
  <c r="AI20" i="28"/>
  <c r="G73" i="28"/>
  <c r="AH69" i="28"/>
  <c r="AC10" i="28"/>
  <c r="J65" i="28"/>
  <c r="G77" i="28"/>
  <c r="J17" i="28"/>
  <c r="AL78" i="28"/>
  <c r="AH24" i="28"/>
  <c r="AK17" i="28"/>
  <c r="J74" i="28"/>
  <c r="G65" i="28"/>
  <c r="AK75" i="28"/>
  <c r="G53" i="28"/>
  <c r="AI11" i="28"/>
  <c r="AK18" i="28"/>
  <c r="AK68" i="28"/>
  <c r="AJ83" i="28"/>
  <c r="G58" i="28"/>
  <c r="F43" i="28"/>
  <c r="AK25" i="28"/>
  <c r="AC73" i="28"/>
  <c r="AJ79" i="28"/>
  <c r="K70" i="28"/>
  <c r="AL11" i="28"/>
  <c r="AC72" i="28"/>
  <c r="AH29" i="28"/>
  <c r="J9" i="28"/>
  <c r="AI10" i="28"/>
  <c r="AJ64" i="28"/>
  <c r="AI69" i="28"/>
  <c r="K74" i="28"/>
  <c r="K79" i="28"/>
  <c r="F30" i="28"/>
  <c r="AI36" i="28"/>
  <c r="F9" i="28"/>
  <c r="G40" i="28"/>
  <c r="AC11" i="28"/>
  <c r="J16" i="28"/>
  <c r="F74" i="28"/>
  <c r="AI9" i="28"/>
  <c r="J47" i="28"/>
  <c r="AJ81" i="28"/>
  <c r="G27" i="28"/>
  <c r="F49" i="28"/>
  <c r="AJ67" i="28"/>
  <c r="G42" i="28"/>
  <c r="AH18" i="28"/>
  <c r="K37" i="28"/>
  <c r="F38" i="28"/>
  <c r="G28" i="28"/>
  <c r="J70" i="28"/>
  <c r="F35" i="28"/>
  <c r="F37" i="28"/>
  <c r="AC35" i="28"/>
  <c r="K78" i="28"/>
  <c r="J50" i="28"/>
  <c r="AI34" i="28"/>
  <c r="AJ69" i="28"/>
  <c r="AK32" i="28"/>
  <c r="F68" i="28"/>
  <c r="K41" i="28"/>
  <c r="AK73" i="28"/>
  <c r="K47" i="28"/>
  <c r="K9" i="28"/>
  <c r="AH79" i="28"/>
  <c r="AK76" i="28"/>
  <c r="AJ33" i="28"/>
  <c r="K61" i="28"/>
  <c r="AJ73" i="28"/>
  <c r="AJ11" i="28"/>
  <c r="AL79" i="28"/>
  <c r="G41" i="28"/>
  <c r="AH16" i="28"/>
  <c r="AJ28" i="28"/>
  <c r="J39" i="28"/>
  <c r="AC80" i="28"/>
  <c r="AL70" i="28"/>
  <c r="K28" i="28"/>
  <c r="G51" i="28"/>
  <c r="AH17" i="28"/>
  <c r="J60" i="28"/>
  <c r="K65" i="28"/>
  <c r="AH84" i="28"/>
  <c r="D24" i="25"/>
  <c r="F20" i="28"/>
  <c r="AC64" i="28"/>
  <c r="AJ78" i="28"/>
  <c r="F62" i="28"/>
  <c r="AC79" i="28"/>
  <c r="AL10" i="28"/>
  <c r="AL18" i="28"/>
  <c r="J72" i="28"/>
  <c r="F52" i="28"/>
  <c r="AC21" i="28"/>
  <c r="AJ75" i="28"/>
  <c r="AI14" i="28"/>
  <c r="K50" i="28"/>
  <c r="F50" i="28"/>
  <c r="AL64" i="28"/>
  <c r="AJ80" i="28"/>
  <c r="AJ68" i="28"/>
  <c r="K31" i="28"/>
  <c r="AJ35" i="28"/>
  <c r="F54" i="28"/>
  <c r="G48" i="28"/>
  <c r="J49" i="28"/>
  <c r="AC31" i="28"/>
  <c r="F45" i="28"/>
  <c r="J76" i="28"/>
  <c r="AI78" i="28"/>
  <c r="AH9" i="28"/>
  <c r="J32" i="28"/>
  <c r="F42" i="28"/>
  <c r="AL22" i="28"/>
  <c r="AJ66" i="28"/>
  <c r="AL81" i="28"/>
  <c r="G31" i="28"/>
  <c r="K73" i="28"/>
  <c r="AK80" i="28"/>
  <c r="K17" i="28"/>
  <c r="G60" i="28"/>
  <c r="J35" i="28"/>
  <c r="K58" i="28"/>
  <c r="AI24" i="28"/>
  <c r="G32" i="28"/>
  <c r="AH74" i="28"/>
  <c r="F61" i="28"/>
  <c r="F67" i="28"/>
  <c r="K52" i="28"/>
  <c r="AJ74" i="28"/>
  <c r="AH22" i="28"/>
  <c r="F32" i="28"/>
  <c r="K46" i="28"/>
  <c r="AH80" i="28"/>
  <c r="AL65" i="28"/>
  <c r="AJ72" i="28"/>
  <c r="AJ63" i="28"/>
  <c r="AJ19" i="28"/>
  <c r="AC32" i="28"/>
  <c r="AI67" i="28"/>
  <c r="AJ17" i="28"/>
  <c r="G20" i="28"/>
  <c r="J27" i="28"/>
  <c r="AH67" i="28"/>
  <c r="G9" i="28"/>
  <c r="J64" i="28"/>
  <c r="K72" i="28"/>
  <c r="AJ82" i="28"/>
  <c r="F29" i="28"/>
  <c r="AC77" i="28"/>
  <c r="K67" i="28"/>
  <c r="AI72" i="28"/>
  <c r="AH14" i="28"/>
  <c r="K42" i="28"/>
  <c r="F81" i="28"/>
  <c r="AI65" i="28"/>
  <c r="AJ32" i="28"/>
  <c r="AK28" i="28"/>
  <c r="E24" i="25"/>
  <c r="G80" i="28"/>
  <c r="AI83" i="28"/>
  <c r="F28" i="28"/>
  <c r="AI31" i="28"/>
  <c r="G79" i="28"/>
  <c r="AH19" i="28"/>
  <c r="AI18" i="28"/>
  <c r="AK65" i="28"/>
  <c r="AC28" i="28"/>
  <c r="AL33" i="28"/>
  <c r="F72" i="28"/>
  <c r="AJ25" i="28"/>
  <c r="K27" i="28"/>
  <c r="AH34" i="28"/>
  <c r="K71" i="28"/>
  <c r="AK19" i="28"/>
  <c r="G39" i="28"/>
  <c r="F22" i="28"/>
  <c r="AL26" i="28"/>
  <c r="AK29" i="28"/>
  <c r="AI15" i="28"/>
  <c r="AK23" i="28"/>
  <c r="G59" i="28"/>
  <c r="AJ77" i="28"/>
  <c r="J19" i="28"/>
  <c r="AI22" i="28"/>
  <c r="AI71" i="28"/>
  <c r="J62" i="28"/>
  <c r="J33" i="28"/>
  <c r="G49" i="28"/>
  <c r="AL74" i="28"/>
  <c r="J40" i="28"/>
  <c r="AL73" i="28"/>
  <c r="AC74" i="28"/>
  <c r="AK12" i="28"/>
  <c r="K40" i="28"/>
  <c r="G21" i="28"/>
  <c r="AK63" i="28"/>
  <c r="G30" i="28"/>
  <c r="J34" i="28"/>
  <c r="AH36" i="28"/>
  <c r="AJ27" i="28"/>
  <c r="AC76" i="28"/>
  <c r="G50" i="28"/>
  <c r="AK20" i="28"/>
  <c r="J11" i="28"/>
  <c r="AK26" i="28"/>
  <c r="AC26" i="28"/>
  <c r="AL34" i="28"/>
  <c r="D16" i="25"/>
  <c r="J25" i="28"/>
  <c r="J58" i="28"/>
  <c r="G38" i="28"/>
  <c r="AK13" i="28"/>
  <c r="AH12" i="28"/>
  <c r="F58" i="28"/>
  <c r="AC33" i="28"/>
  <c r="AI75" i="28"/>
  <c r="AL32" i="28"/>
  <c r="AJ84" i="28"/>
  <c r="J57" i="28"/>
  <c r="AH26" i="28"/>
  <c r="AJ20" i="28"/>
  <c r="AJ18" i="28"/>
  <c r="F76" i="28"/>
  <c r="AL31" i="28"/>
  <c r="F60" i="28"/>
  <c r="AK69" i="28"/>
  <c r="AI30" i="28"/>
  <c r="AH25" i="28"/>
  <c r="AI12" i="28"/>
  <c r="AJ34" i="28"/>
  <c r="J44" i="28"/>
  <c r="AI28" i="28"/>
  <c r="AJ13" i="28"/>
  <c r="F47" i="28"/>
  <c r="G17" i="28"/>
  <c r="AC34" i="28"/>
  <c r="AJ10" i="28"/>
  <c r="AH68" i="28"/>
  <c r="AH27" i="28"/>
  <c r="F69" i="28"/>
  <c r="K21" i="28"/>
  <c r="AH63" i="28"/>
  <c r="AH76" i="28"/>
  <c r="G52" i="28"/>
  <c r="F10" i="28"/>
  <c r="AC16" i="28"/>
  <c r="K29" i="28"/>
  <c r="J22" i="28"/>
  <c r="AL24" i="28"/>
  <c r="K55" i="28"/>
  <c r="AL28" i="28"/>
  <c r="F44" i="28"/>
  <c r="G64" i="28"/>
  <c r="AC68" i="28"/>
  <c r="G47" i="28"/>
  <c r="AI64" i="28"/>
  <c r="F21" i="28"/>
  <c r="AL84" i="28"/>
  <c r="AK71" i="28"/>
  <c r="AH31" i="28"/>
  <c r="AL82" i="28"/>
  <c r="AJ29" i="28"/>
  <c r="AK21" i="28"/>
  <c r="AL66" i="28"/>
  <c r="F59" i="28"/>
  <c r="AK74" i="28"/>
  <c r="AL63" i="28"/>
  <c r="K18" i="28"/>
  <c r="AI21" i="28"/>
  <c r="F36" i="28"/>
  <c r="AJ9" i="28"/>
  <c r="AK35" i="28"/>
  <c r="J78" i="28"/>
  <c r="G54" i="28"/>
  <c r="AI27" i="28"/>
  <c r="AC75" i="28"/>
  <c r="F18" i="28"/>
  <c r="AI70" i="28"/>
  <c r="AL75" i="28"/>
  <c r="AL77" i="28"/>
  <c r="AJ70" i="28"/>
  <c r="AL27" i="28"/>
  <c r="F40" i="28"/>
  <c r="F16" i="28"/>
  <c r="F53" i="28"/>
  <c r="AH73" i="28"/>
  <c r="J53" i="28"/>
  <c r="J79" i="28"/>
  <c r="F65" i="28"/>
  <c r="AH10" i="28"/>
  <c r="AL20" i="28"/>
  <c r="J30" i="28"/>
  <c r="AL80" i="28"/>
  <c r="J48" i="28"/>
  <c r="AI26" i="28"/>
  <c r="AK79" i="28"/>
  <c r="K53" i="28"/>
  <c r="J81" i="28"/>
  <c r="F75" i="28"/>
  <c r="G43" i="28"/>
  <c r="G61" i="28"/>
  <c r="AH83" i="28"/>
  <c r="F17" i="28"/>
  <c r="J41" i="28"/>
  <c r="G34" i="28"/>
  <c r="J31" i="28"/>
  <c r="F19" i="28"/>
  <c r="K64" i="28"/>
  <c r="AK36" i="28"/>
  <c r="AJ22" i="28"/>
  <c r="D17" i="25"/>
  <c r="J21" i="28"/>
  <c r="J26" i="28"/>
  <c r="AI79" i="28"/>
  <c r="AK10" i="28"/>
  <c r="K80" i="28"/>
  <c r="J52" i="28"/>
  <c r="K23" i="28"/>
  <c r="AL35" i="28"/>
  <c r="AL83" i="28"/>
  <c r="F73" i="28"/>
  <c r="F70" i="28"/>
  <c r="AL68" i="28"/>
  <c r="AL67" i="28"/>
  <c r="K33" i="28"/>
  <c r="G16" i="28"/>
  <c r="D26" i="25"/>
  <c r="K44" i="28"/>
  <c r="AC70" i="28"/>
  <c r="AJ36" i="28"/>
  <c r="AL76" i="28"/>
  <c r="AK31" i="28"/>
  <c r="F78" i="28"/>
  <c r="G18" i="28"/>
  <c r="AJ65" i="28"/>
  <c r="K59" i="28"/>
  <c r="AI19" i="28"/>
  <c r="G76" i="28"/>
  <c r="AC29" i="28"/>
  <c r="AH33" i="28"/>
  <c r="AK70" i="28"/>
  <c r="F11" i="28"/>
  <c r="AJ12" i="28"/>
  <c r="AH77" i="28"/>
  <c r="AI81" i="28"/>
  <c r="AC9" i="28"/>
  <c r="AK82" i="28"/>
  <c r="J51" i="28"/>
  <c r="F31" i="28"/>
  <c r="J28" i="28"/>
  <c r="G68" i="28"/>
  <c r="K75" i="28"/>
  <c r="F26" i="28"/>
  <c r="K19" i="28"/>
  <c r="AK67" i="28"/>
  <c r="G29" i="28"/>
  <c r="F71" i="28"/>
  <c r="K69" i="28"/>
  <c r="AC78" i="28"/>
  <c r="K30" i="28"/>
  <c r="AH66" i="28"/>
  <c r="E26" i="25"/>
  <c r="K22" i="28"/>
  <c r="G35" i="28"/>
  <c r="AL30" i="28"/>
  <c r="K49" i="28"/>
  <c r="G19" i="28"/>
  <c r="AJ21" i="28"/>
  <c r="AH75" i="28"/>
  <c r="G11" i="28"/>
  <c r="K43" i="28"/>
  <c r="K35" i="28"/>
  <c r="AC23" i="28"/>
  <c r="G70" i="28"/>
  <c r="AI82" i="28"/>
  <c r="AC30" i="28"/>
  <c r="AI73" i="28"/>
  <c r="G45" i="28"/>
  <c r="AL72" i="28"/>
  <c r="AH65" i="28"/>
  <c r="AC18" i="28"/>
  <c r="J38" i="28"/>
  <c r="K57" i="28"/>
  <c r="K48" i="28"/>
  <c r="AI16" i="28"/>
  <c r="AI29" i="28"/>
  <c r="AK33" i="28"/>
  <c r="AL23" i="28"/>
  <c r="AK72" i="28"/>
  <c r="G74" i="28"/>
  <c r="AI33" i="28"/>
  <c r="J80" i="28"/>
  <c r="G25" i="28"/>
  <c r="AC36" i="28"/>
  <c r="K32" i="28"/>
  <c r="F27" i="28"/>
  <c r="J59" i="28"/>
  <c r="F64" i="28"/>
  <c r="G71" i="28"/>
  <c r="AC65" i="28"/>
  <c r="F46" i="28"/>
  <c r="AI13" i="28"/>
  <c r="J67" i="28"/>
  <c r="G10" i="28"/>
  <c r="AJ30" i="28"/>
  <c r="F57" i="28"/>
  <c r="K16" i="28"/>
  <c r="AH70" i="28"/>
  <c r="AI17" i="28"/>
  <c r="AC22" i="28"/>
  <c r="G44" i="28"/>
  <c r="AH32" i="28"/>
  <c r="AH78" i="28"/>
  <c r="AK34" i="28"/>
  <c r="AL36" i="28"/>
  <c r="K68" i="28"/>
  <c r="AI63" i="28"/>
  <c r="AK9" i="28"/>
  <c r="K38" i="28"/>
  <c r="AK77" i="28"/>
  <c r="AI25" i="28"/>
  <c r="AK30" i="28"/>
  <c r="AJ31" i="28"/>
  <c r="F33" i="28"/>
  <c r="G22" i="28"/>
  <c r="AH13" i="28"/>
  <c r="E6" i="25"/>
  <c r="K76" i="28"/>
  <c r="J71" i="28"/>
  <c r="G26" i="28"/>
  <c r="AK27" i="28"/>
  <c r="AK78" i="28"/>
  <c r="K60" i="28"/>
  <c r="AL21" i="28"/>
  <c r="AC19" i="28"/>
  <c r="E17" i="25"/>
  <c r="AC69" i="28"/>
  <c r="AI80" i="28"/>
  <c r="F34" i="28"/>
  <c r="AH23" i="28"/>
  <c r="G78" i="28"/>
  <c r="AK64" i="28"/>
  <c r="K20" i="28"/>
  <c r="AI66" i="28"/>
  <c r="AK66" i="28"/>
  <c r="J20" i="28"/>
  <c r="AH20" i="28"/>
  <c r="K25" i="28"/>
  <c r="AH82" i="28"/>
  <c r="AH11" i="28"/>
  <c r="F77" i="28"/>
  <c r="K45" i="28"/>
  <c r="J10" i="28"/>
  <c r="AK24" i="28"/>
  <c r="G75" i="28"/>
  <c r="K54" i="28"/>
  <c r="J29" i="28"/>
  <c r="F25" i="28"/>
  <c r="D6" i="25"/>
  <c r="G23" i="28"/>
  <c r="F80" i="28"/>
  <c r="E16" i="25"/>
  <c r="G55" i="28"/>
  <c r="K10" i="28"/>
  <c r="K39" i="28"/>
  <c r="G37" i="28"/>
  <c r="AL29" i="28"/>
  <c r="G72" i="28"/>
  <c r="J37" i="28"/>
  <c r="G46" i="28"/>
  <c r="K77" i="28"/>
  <c r="AC20" i="28"/>
  <c r="J54" i="28"/>
  <c r="AC17" i="28"/>
  <c r="AH30" i="28"/>
  <c r="AH35" i="28"/>
  <c r="J36" i="28"/>
  <c r="J61" i="28"/>
  <c r="AC81" i="28"/>
  <c r="AI84" i="28"/>
  <c r="AI68" i="28"/>
  <c r="K62" i="28"/>
  <c r="K11" i="28"/>
  <c r="K36" i="28"/>
  <c r="K34" i="28"/>
  <c r="G33" i="28"/>
  <c r="AH28" i="28"/>
  <c r="AH81" i="28"/>
  <c r="AI23" i="28"/>
  <c r="F48" i="28"/>
  <c r="AE74" i="28" l="1"/>
  <c r="AE11" i="28"/>
  <c r="AE66" i="28"/>
  <c r="AE67" i="28"/>
  <c r="AE70" i="28"/>
  <c r="AE30" i="28"/>
  <c r="AE17" i="28"/>
  <c r="AE23" i="28"/>
  <c r="AE63" i="28"/>
  <c r="AE28" i="28"/>
  <c r="AE9" i="28"/>
  <c r="AE24" i="28"/>
  <c r="AE18" i="28"/>
  <c r="AE13" i="28"/>
  <c r="AE33" i="28"/>
  <c r="AE15" i="28"/>
  <c r="AE36" i="28"/>
  <c r="AE78" i="28"/>
  <c r="AE79" i="28"/>
  <c r="AE34" i="28"/>
  <c r="AE32" i="28"/>
  <c r="AE64" i="28"/>
  <c r="AE83" i="28"/>
  <c r="AE69" i="28"/>
  <c r="AE82" i="28"/>
  <c r="AE25" i="28"/>
  <c r="AE76" i="28"/>
  <c r="AE22" i="28"/>
  <c r="AE73" i="28"/>
  <c r="AE31" i="28"/>
  <c r="AE68" i="28"/>
  <c r="AE72" i="28"/>
  <c r="AE80" i="28"/>
  <c r="AE12" i="28"/>
  <c r="AE29" i="28"/>
  <c r="AE16" i="28"/>
  <c r="AE75" i="28"/>
  <c r="AE21" i="28"/>
  <c r="AE77" i="28"/>
  <c r="AE20" i="28"/>
  <c r="AE84" i="28"/>
  <c r="AE14" i="28"/>
  <c r="AE35" i="28"/>
  <c r="AF71" i="28"/>
  <c r="N71" i="28" s="1"/>
  <c r="AE71" i="28"/>
  <c r="AE26" i="28"/>
  <c r="AE19" i="28"/>
  <c r="AE10" i="28"/>
  <c r="AE65" i="28"/>
  <c r="AE27" i="28"/>
  <c r="AE81" i="28"/>
  <c r="T9" i="3"/>
  <c r="T10" i="3" s="1"/>
  <c r="H50" i="32"/>
  <c r="H28" i="6" s="1"/>
  <c r="L108" i="28"/>
  <c r="L41" i="28" s="1"/>
  <c r="L7" i="2"/>
  <c r="J7" i="2"/>
  <c r="G7" i="2"/>
  <c r="AD31" i="28"/>
  <c r="AD19" i="28"/>
  <c r="AD10" i="28"/>
  <c r="AD36" i="28"/>
  <c r="AD80" i="28"/>
  <c r="AD28" i="28"/>
  <c r="AD11" i="28"/>
  <c r="AD18" i="28"/>
  <c r="AD29" i="28"/>
  <c r="AD69" i="28"/>
  <c r="AD27" i="28"/>
  <c r="AD23" i="28"/>
  <c r="AD34" i="28"/>
  <c r="AD78" i="28"/>
  <c r="AD16" i="28"/>
  <c r="AD77" i="28"/>
  <c r="AD67" i="28"/>
  <c r="AD32" i="28"/>
  <c r="AD22" i="28"/>
  <c r="AD74" i="28"/>
  <c r="AD26" i="28"/>
  <c r="AD30" i="28"/>
  <c r="AD21" i="28"/>
  <c r="AD9" i="28"/>
  <c r="AD64" i="28"/>
  <c r="AD20" i="28"/>
  <c r="AD70" i="28"/>
  <c r="AD81" i="28"/>
  <c r="AD17" i="28"/>
  <c r="AD25" i="28"/>
  <c r="AD73" i="28"/>
  <c r="AD76" i="28"/>
  <c r="AD65" i="28"/>
  <c r="AD68" i="28"/>
  <c r="AD75" i="28"/>
  <c r="AD72" i="28"/>
  <c r="AD35" i="28"/>
  <c r="AD33" i="28"/>
  <c r="AD79" i="28"/>
  <c r="R71" i="28" l="1"/>
  <c r="AG70" i="28"/>
  <c r="O70" i="28" s="1"/>
  <c r="AF70" i="28"/>
  <c r="N70" i="28" s="1"/>
  <c r="AF75" i="28"/>
  <c r="R75" i="28" s="1"/>
  <c r="AG75" i="28"/>
  <c r="S75" i="28" s="1"/>
  <c r="AG76" i="28"/>
  <c r="O76" i="28" s="1"/>
  <c r="AF76" i="28"/>
  <c r="N76" i="28" s="1"/>
  <c r="AF34" i="28"/>
  <c r="N34" i="28" s="1"/>
  <c r="AG34" i="28"/>
  <c r="S34" i="28" s="1"/>
  <c r="AG67" i="28"/>
  <c r="O67" i="28" s="1"/>
  <c r="AF67" i="28"/>
  <c r="N67" i="28" s="1"/>
  <c r="AF73" i="28"/>
  <c r="R73" i="28" s="1"/>
  <c r="AG73" i="28"/>
  <c r="O73" i="28" s="1"/>
  <c r="AG35" i="28"/>
  <c r="S35" i="28" s="1"/>
  <c r="AF35" i="28"/>
  <c r="R35" i="28" s="1"/>
  <c r="AG9" i="28"/>
  <c r="O9" i="28" s="1"/>
  <c r="AF9" i="28"/>
  <c r="N9" i="28" s="1"/>
  <c r="AF78" i="28"/>
  <c r="R78" i="28" s="1"/>
  <c r="AG78" i="28"/>
  <c r="S78" i="28" s="1"/>
  <c r="AG29" i="28"/>
  <c r="O29" i="28" s="1"/>
  <c r="AF29" i="28"/>
  <c r="R29" i="28" s="1"/>
  <c r="AG23" i="28"/>
  <c r="S23" i="28" s="1"/>
  <c r="AF23" i="28"/>
  <c r="R23" i="28" s="1"/>
  <c r="AG32" i="28"/>
  <c r="S32" i="28" s="1"/>
  <c r="AF32" i="28"/>
  <c r="R32" i="28" s="1"/>
  <c r="AF16" i="28"/>
  <c r="N16" i="28" s="1"/>
  <c r="AG16" i="28"/>
  <c r="O16" i="28" s="1"/>
  <c r="AG74" i="28"/>
  <c r="O74" i="28" s="1"/>
  <c r="AF74" i="28"/>
  <c r="N74" i="28" s="1"/>
  <c r="AF69" i="28"/>
  <c r="R69" i="28" s="1"/>
  <c r="AG69" i="28"/>
  <c r="S69" i="28" s="1"/>
  <c r="AF64" i="28"/>
  <c r="R64" i="28" s="1"/>
  <c r="AG64" i="28"/>
  <c r="O64" i="28" s="1"/>
  <c r="AG68" i="28"/>
  <c r="S68" i="28" s="1"/>
  <c r="AF68" i="28"/>
  <c r="R68" i="28" s="1"/>
  <c r="AF26" i="28"/>
  <c r="N26" i="28" s="1"/>
  <c r="AG26" i="28"/>
  <c r="O26" i="28" s="1"/>
  <c r="AF21" i="28"/>
  <c r="N21" i="28" s="1"/>
  <c r="AG21" i="28"/>
  <c r="S21" i="28" s="1"/>
  <c r="AG80" i="28"/>
  <c r="O80" i="28" s="1"/>
  <c r="AF80" i="28"/>
  <c r="N80" i="28" s="1"/>
  <c r="AF10" i="28"/>
  <c r="N10" i="28" s="1"/>
  <c r="AG10" i="28"/>
  <c r="O10" i="28" s="1"/>
  <c r="AG33" i="28"/>
  <c r="S33" i="28" s="1"/>
  <c r="AF33" i="28"/>
  <c r="N33" i="28" s="1"/>
  <c r="AG19" i="28"/>
  <c r="S19" i="28" s="1"/>
  <c r="AF19" i="28"/>
  <c r="N19" i="28" s="1"/>
  <c r="AG27" i="28"/>
  <c r="O27" i="28" s="1"/>
  <c r="AF27" i="28"/>
  <c r="R27" i="28" s="1"/>
  <c r="AG18" i="28"/>
  <c r="O18" i="28" s="1"/>
  <c r="AF18" i="28"/>
  <c r="N18" i="28" s="1"/>
  <c r="AG30" i="28"/>
  <c r="O30" i="28" s="1"/>
  <c r="AF30" i="28"/>
  <c r="N30" i="28" s="1"/>
  <c r="AF22" i="28"/>
  <c r="N22" i="28" s="1"/>
  <c r="AG22" i="28"/>
  <c r="O22" i="28" s="1"/>
  <c r="AF28" i="28"/>
  <c r="R28" i="28" s="1"/>
  <c r="AG28" i="28"/>
  <c r="O28" i="28" s="1"/>
  <c r="AG25" i="28"/>
  <c r="S25" i="28" s="1"/>
  <c r="AF25" i="28"/>
  <c r="N25" i="28" s="1"/>
  <c r="AG81" i="28"/>
  <c r="S81" i="28" s="1"/>
  <c r="AF81" i="28"/>
  <c r="N81" i="28" s="1"/>
  <c r="AF17" i="28"/>
  <c r="N17" i="28" s="1"/>
  <c r="AG17" i="28"/>
  <c r="O17" i="28" s="1"/>
  <c r="AF11" i="28"/>
  <c r="N11" i="28" s="1"/>
  <c r="AG11" i="28"/>
  <c r="O11" i="28" s="1"/>
  <c r="AG31" i="28"/>
  <c r="O31" i="28" s="1"/>
  <c r="AF31" i="28"/>
  <c r="N31" i="28" s="1"/>
  <c r="AG36" i="28"/>
  <c r="O36" i="28" s="1"/>
  <c r="AF36" i="28"/>
  <c r="N36" i="28" s="1"/>
  <c r="AG20" i="28"/>
  <c r="S20" i="28" s="1"/>
  <c r="AF20" i="28"/>
  <c r="R20" i="28" s="1"/>
  <c r="AF65" i="28"/>
  <c r="R65" i="28" s="1"/>
  <c r="AG65" i="28"/>
  <c r="O65" i="28" s="1"/>
  <c r="AF77" i="28"/>
  <c r="R77" i="28" s="1"/>
  <c r="AG77" i="28"/>
  <c r="O77" i="28" s="1"/>
  <c r="AF79" i="28"/>
  <c r="N79" i="28" s="1"/>
  <c r="AG79" i="28"/>
  <c r="O79" i="28" s="1"/>
  <c r="AG72" i="28"/>
  <c r="S72" i="28" s="1"/>
  <c r="AF72" i="28"/>
  <c r="R72" i="28" s="1"/>
  <c r="L69" i="28"/>
  <c r="L38" i="28"/>
  <c r="L54" i="28"/>
  <c r="L48" i="28"/>
  <c r="L56" i="28"/>
  <c r="L67" i="28"/>
  <c r="L39" i="28"/>
  <c r="L46" i="28"/>
  <c r="L55" i="28"/>
  <c r="L43" i="28"/>
  <c r="L47" i="28"/>
  <c r="L70" i="28"/>
  <c r="L68" i="28"/>
  <c r="L66" i="28"/>
  <c r="L53" i="28"/>
  <c r="L45" i="28"/>
  <c r="L63" i="28"/>
  <c r="L57" i="28"/>
  <c r="L37" i="28"/>
  <c r="L64" i="28"/>
  <c r="L50" i="28"/>
  <c r="L42" i="28"/>
  <c r="L65" i="28"/>
  <c r="L51" i="28"/>
  <c r="L49" i="28"/>
  <c r="L52" i="28"/>
  <c r="L44" i="28"/>
  <c r="K7" i="2"/>
  <c r="L32" i="28"/>
  <c r="L35" i="28"/>
  <c r="S8" i="3"/>
  <c r="G24" i="6" s="1"/>
  <c r="S73" i="28" l="1"/>
  <c r="O35" i="28"/>
  <c r="R30" i="28"/>
  <c r="N64" i="28"/>
  <c r="R34" i="28"/>
  <c r="R76" i="28"/>
  <c r="S29" i="28"/>
  <c r="S74" i="28"/>
  <c r="O81" i="28"/>
  <c r="R81" i="28"/>
  <c r="S70" i="28"/>
  <c r="O68" i="28"/>
  <c r="R10" i="28"/>
  <c r="S67" i="28"/>
  <c r="S18" i="28"/>
  <c r="R67" i="28"/>
  <c r="R22" i="28"/>
  <c r="O19" i="28"/>
  <c r="O20" i="28"/>
  <c r="S16" i="28"/>
  <c r="O75" i="28"/>
  <c r="R33" i="28"/>
  <c r="R74" i="28"/>
  <c r="S10" i="28"/>
  <c r="O78" i="28"/>
  <c r="S79" i="28"/>
  <c r="R16" i="28"/>
  <c r="R25" i="28"/>
  <c r="N75" i="28"/>
  <c r="S36" i="28"/>
  <c r="O33" i="28"/>
  <c r="R26" i="28"/>
  <c r="N78" i="28"/>
  <c r="O23" i="28"/>
  <c r="S31" i="28"/>
  <c r="R70" i="28"/>
  <c r="O25" i="28"/>
  <c r="R21" i="28"/>
  <c r="N73" i="28"/>
  <c r="N69" i="28"/>
  <c r="R31" i="28"/>
  <c r="N68" i="28"/>
  <c r="S76" i="28"/>
  <c r="R17" i="28"/>
  <c r="R18" i="28"/>
  <c r="N65" i="28"/>
  <c r="N23" i="28"/>
  <c r="S17" i="28"/>
  <c r="S9" i="28"/>
  <c r="N35" i="28"/>
  <c r="O69" i="28"/>
  <c r="O32" i="28"/>
  <c r="S22" i="28"/>
  <c r="S27" i="28"/>
  <c r="R19" i="28"/>
  <c r="O21" i="28"/>
  <c r="O72" i="28"/>
  <c r="N20" i="28"/>
  <c r="S77" i="28"/>
  <c r="N72" i="28"/>
  <c r="N32" i="28"/>
  <c r="S64" i="28"/>
  <c r="S28" i="28"/>
  <c r="N28" i="28"/>
  <c r="N27" i="28"/>
  <c r="N77" i="28"/>
  <c r="O34" i="28"/>
  <c r="N29" i="28"/>
  <c r="R11" i="28"/>
  <c r="S80" i="28"/>
  <c r="R79" i="28"/>
  <c r="S65" i="28"/>
  <c r="S26" i="28"/>
  <c r="R9" i="28"/>
  <c r="S30" i="28"/>
  <c r="R36" i="28"/>
  <c r="R80" i="28"/>
  <c r="S11" i="28"/>
  <c r="L36" i="28"/>
  <c r="AR48" i="7"/>
  <c r="AR64" i="7"/>
  <c r="AR71" i="7"/>
  <c r="AR94" i="7"/>
  <c r="AR49" i="7"/>
  <c r="AR57" i="7"/>
  <c r="AR47" i="7"/>
  <c r="AR36" i="7"/>
  <c r="AR97" i="7"/>
  <c r="AR101" i="7"/>
  <c r="AR86" i="7"/>
  <c r="AR20" i="7"/>
  <c r="AR46" i="7"/>
  <c r="AR88" i="7"/>
  <c r="AR90" i="7"/>
  <c r="AR42" i="7"/>
  <c r="AR30" i="7"/>
  <c r="AR96" i="7"/>
  <c r="AR27" i="7"/>
  <c r="AR59" i="7"/>
  <c r="AR44" i="7"/>
  <c r="AR61" i="7"/>
  <c r="AR51" i="7"/>
  <c r="AR75" i="7"/>
  <c r="AR25" i="7"/>
  <c r="AR54" i="7"/>
  <c r="AR72" i="7"/>
  <c r="AR41" i="7"/>
  <c r="AR93" i="7"/>
  <c r="AR84" i="7"/>
  <c r="AR16" i="7"/>
  <c r="AR81" i="7"/>
  <c r="AR80" i="7"/>
  <c r="AR82" i="7"/>
  <c r="AR21" i="7"/>
  <c r="AR74" i="7"/>
  <c r="AR56" i="7"/>
  <c r="AR55" i="7"/>
  <c r="AR78" i="7"/>
  <c r="AR102" i="7"/>
  <c r="AR32" i="7"/>
  <c r="AR9" i="7"/>
  <c r="AR70" i="7"/>
  <c r="AR103" i="7"/>
  <c r="AR89" i="7"/>
  <c r="AR15" i="7"/>
  <c r="AR53" i="7"/>
  <c r="AR107" i="7"/>
  <c r="AR50" i="7"/>
  <c r="AR73" i="7"/>
  <c r="AR68" i="7"/>
  <c r="AR22" i="7"/>
  <c r="AR11" i="7"/>
  <c r="AR34" i="7"/>
  <c r="AR87" i="7"/>
  <c r="AR12" i="7"/>
  <c r="AR13" i="7"/>
  <c r="AR26" i="7"/>
  <c r="AR38" i="7"/>
  <c r="AR31" i="7"/>
  <c r="AR58" i="7"/>
  <c r="AR29" i="7"/>
  <c r="AR45" i="7"/>
  <c r="AR65" i="7"/>
  <c r="AR85" i="7"/>
  <c r="AR62" i="7"/>
  <c r="AR18" i="7"/>
  <c r="AR77" i="7"/>
  <c r="AR33" i="7"/>
  <c r="AR66" i="7"/>
  <c r="AR37" i="7"/>
  <c r="AR67" i="7"/>
  <c r="AR28" i="7"/>
  <c r="AR69" i="7"/>
  <c r="AR40" i="7"/>
  <c r="AR10" i="7"/>
  <c r="AR63" i="7"/>
  <c r="AR83" i="7"/>
  <c r="AR43" i="7"/>
  <c r="AR8" i="7"/>
  <c r="AR108" i="7"/>
  <c r="AR95" i="7"/>
  <c r="AR60" i="7"/>
  <c r="AR39" i="7"/>
  <c r="AR35" i="7"/>
  <c r="AR17" i="7"/>
  <c r="AR14" i="7"/>
  <c r="AR76" i="7"/>
  <c r="AR19" i="7"/>
  <c r="AR100" i="7"/>
  <c r="AR104" i="7"/>
  <c r="P78" i="28"/>
  <c r="L20" i="28"/>
  <c r="AR79" i="7"/>
  <c r="L21" i="28"/>
  <c r="AR126" i="7" l="1"/>
  <c r="AR147" i="7" s="1"/>
  <c r="L94" i="28" l="1"/>
  <c r="AR146" i="7"/>
  <c r="AR149" i="7"/>
  <c r="AR148" i="7"/>
  <c r="J84" i="28"/>
  <c r="AC12" i="28"/>
  <c r="K82" i="28"/>
  <c r="G15" i="28"/>
  <c r="G83" i="28"/>
  <c r="F14" i="28"/>
  <c r="K24" i="28"/>
  <c r="J82" i="28"/>
  <c r="AC14" i="28"/>
  <c r="AC83" i="28"/>
  <c r="F82" i="28"/>
  <c r="J12" i="28"/>
  <c r="F83" i="28"/>
  <c r="G12" i="28"/>
  <c r="J15" i="28"/>
  <c r="AC15" i="28"/>
  <c r="G82" i="28"/>
  <c r="AC24" i="28"/>
  <c r="F84" i="28"/>
  <c r="F15" i="28"/>
  <c r="AC13" i="28"/>
  <c r="K83" i="28"/>
  <c r="AC84" i="28"/>
  <c r="F24" i="28"/>
  <c r="J83" i="28"/>
  <c r="G84" i="28"/>
  <c r="K13" i="28"/>
  <c r="G14" i="28"/>
  <c r="G13" i="28"/>
  <c r="F12" i="28"/>
  <c r="AC82" i="28"/>
  <c r="K84" i="28"/>
  <c r="J14" i="28"/>
  <c r="K12" i="28"/>
  <c r="J24" i="28"/>
  <c r="G24" i="28"/>
  <c r="J13" i="28"/>
  <c r="K15" i="28"/>
  <c r="F13" i="28"/>
  <c r="K14" i="28"/>
  <c r="L109" i="28" l="1"/>
  <c r="AD13" i="28"/>
  <c r="AD15" i="28"/>
  <c r="AD14" i="28"/>
  <c r="F66" i="28"/>
  <c r="F63" i="28"/>
  <c r="J56" i="28"/>
  <c r="K56" i="28"/>
  <c r="AD24" i="28"/>
  <c r="AD12" i="28"/>
  <c r="AC66" i="28"/>
  <c r="K66" i="28"/>
  <c r="K63" i="28"/>
  <c r="F56" i="28"/>
  <c r="AD84" i="28"/>
  <c r="J63" i="28"/>
  <c r="AD83" i="28"/>
  <c r="G63" i="28"/>
  <c r="J66" i="28"/>
  <c r="G56" i="28"/>
  <c r="AC63" i="28"/>
  <c r="G66" i="28"/>
  <c r="AD82" i="28"/>
  <c r="AC56" i="28"/>
  <c r="AG13" i="28" l="1"/>
  <c r="AF13" i="28"/>
  <c r="AF83" i="28"/>
  <c r="AG83" i="28"/>
  <c r="AF12" i="28"/>
  <c r="AG12" i="28"/>
  <c r="AG82" i="28"/>
  <c r="AF82" i="28"/>
  <c r="AF84" i="28"/>
  <c r="AG84" i="28"/>
  <c r="AF24" i="28"/>
  <c r="AG24" i="28"/>
  <c r="AF14" i="28"/>
  <c r="AG14" i="28"/>
  <c r="AF15" i="28"/>
  <c r="AG15" i="28"/>
  <c r="AD63" i="28"/>
  <c r="AD66" i="28"/>
  <c r="AD56" i="28"/>
  <c r="R13" i="28" l="1"/>
  <c r="N13" i="28"/>
  <c r="S15" i="28"/>
  <c r="O15" i="28"/>
  <c r="R82" i="28"/>
  <c r="N82" i="28"/>
  <c r="R15" i="28"/>
  <c r="N15" i="28"/>
  <c r="O82" i="28"/>
  <c r="S82" i="28"/>
  <c r="N84" i="28"/>
  <c r="R84" i="28"/>
  <c r="S14" i="28"/>
  <c r="O14" i="28"/>
  <c r="R14" i="28"/>
  <c r="N14" i="28"/>
  <c r="N12" i="28"/>
  <c r="R12" i="28"/>
  <c r="S84" i="28"/>
  <c r="O84" i="28"/>
  <c r="O13" i="28"/>
  <c r="S13" i="28"/>
  <c r="O12" i="28"/>
  <c r="S12" i="28"/>
  <c r="S24" i="28"/>
  <c r="O24" i="28"/>
  <c r="O83" i="28"/>
  <c r="S83" i="28"/>
  <c r="R24" i="28"/>
  <c r="N24" i="28"/>
  <c r="N83" i="28"/>
  <c r="R83" i="28"/>
  <c r="AG56" i="28"/>
  <c r="AF56" i="28"/>
  <c r="AG66" i="28"/>
  <c r="AF66" i="28"/>
  <c r="AG63" i="28"/>
  <c r="AF63" i="28"/>
  <c r="N63" i="28" l="1"/>
  <c r="R63" i="28"/>
  <c r="O63" i="28"/>
  <c r="S63" i="28"/>
  <c r="O66" i="28"/>
  <c r="S66" i="28"/>
  <c r="R56" i="28"/>
  <c r="N56" i="28"/>
  <c r="R66" i="28"/>
  <c r="N66" i="28"/>
  <c r="O56" i="28"/>
  <c r="S56" i="28"/>
  <c r="H102" i="4" l="1"/>
  <c r="F4" i="2"/>
  <c r="L7" i="3" s="1"/>
  <c r="L8" i="3" s="1"/>
  <c r="P88" i="4"/>
  <c r="AP137" i="7" s="1"/>
  <c r="H4" i="2"/>
  <c r="H7" i="2" s="1"/>
  <c r="I4" i="2"/>
  <c r="H100" i="4"/>
  <c r="O95" i="4" s="1"/>
  <c r="I95" i="4" s="1"/>
  <c r="Q87" i="4" l="1"/>
  <c r="O88" i="4"/>
  <c r="I88" i="4" s="1"/>
  <c r="O100" i="4"/>
  <c r="I100" i="4" s="1"/>
  <c r="L33" i="28"/>
  <c r="AP126" i="7"/>
  <c r="AP148" i="7" s="1"/>
  <c r="P80" i="28"/>
  <c r="Q94" i="4"/>
  <c r="AQ43" i="7" l="1"/>
  <c r="L87" i="28"/>
  <c r="AP149" i="7"/>
  <c r="AP147" i="7"/>
  <c r="AQ50" i="7"/>
  <c r="AQ102" i="7"/>
  <c r="AQ60" i="7"/>
  <c r="AQ67" i="7"/>
  <c r="AP146" i="7"/>
  <c r="AQ18" i="7"/>
  <c r="AQ97" i="7"/>
  <c r="AQ68" i="7"/>
  <c r="AQ53" i="7"/>
  <c r="AQ101" i="7"/>
  <c r="AQ33" i="7"/>
  <c r="AQ66" i="7"/>
  <c r="AQ46" i="7"/>
  <c r="AQ30" i="7"/>
  <c r="AQ31" i="7"/>
  <c r="AQ71" i="7"/>
  <c r="AQ108" i="7"/>
  <c r="AQ35" i="7"/>
  <c r="AQ72" i="7"/>
  <c r="AQ41" i="7"/>
  <c r="AQ107" i="7"/>
  <c r="AQ17" i="7"/>
  <c r="AQ73" i="7"/>
  <c r="AQ21" i="7"/>
  <c r="AQ80" i="7"/>
  <c r="AQ57" i="7"/>
  <c r="AQ37" i="7"/>
  <c r="AQ69" i="7"/>
  <c r="AQ64" i="7"/>
  <c r="AQ61" i="7"/>
  <c r="AQ79" i="7"/>
  <c r="AQ76" i="7"/>
  <c r="AQ34" i="7"/>
  <c r="AQ48" i="7"/>
  <c r="AQ70" i="7"/>
  <c r="AQ36" i="7"/>
  <c r="AQ83" i="7"/>
  <c r="AQ59" i="7"/>
  <c r="AQ42" i="7"/>
  <c r="AQ103" i="7"/>
  <c r="AQ86" i="7"/>
  <c r="AQ16" i="7"/>
  <c r="AQ25" i="7"/>
  <c r="AQ74" i="7"/>
  <c r="AQ89" i="7"/>
  <c r="AQ58" i="7"/>
  <c r="AQ82" i="7"/>
  <c r="AQ22" i="7"/>
  <c r="AQ100" i="7"/>
  <c r="AS12" i="7"/>
  <c r="AS59" i="7"/>
  <c r="AS55" i="7"/>
  <c r="AS53" i="7"/>
  <c r="AS16" i="7"/>
  <c r="AS30" i="7"/>
  <c r="AS102" i="7"/>
  <c r="AS71" i="7"/>
  <c r="AS108" i="7"/>
  <c r="AS70" i="7"/>
  <c r="AS34" i="7"/>
  <c r="AS52" i="7"/>
  <c r="AS41" i="7"/>
  <c r="AS61" i="7"/>
  <c r="AS103" i="7"/>
  <c r="AS100" i="7"/>
  <c r="AS89" i="7"/>
  <c r="AS67" i="7"/>
  <c r="AS50" i="7"/>
  <c r="AS40" i="7"/>
  <c r="AS43" i="7"/>
  <c r="AS96" i="7"/>
  <c r="AS54" i="7"/>
  <c r="AS15" i="7"/>
  <c r="AS69" i="7"/>
  <c r="AS9" i="7"/>
  <c r="AS68" i="7"/>
  <c r="AS75" i="7"/>
  <c r="AS25" i="7"/>
  <c r="AS14" i="7"/>
  <c r="AS62" i="7"/>
  <c r="AS93" i="7"/>
  <c r="AS39" i="7"/>
  <c r="AS73" i="7"/>
  <c r="AS57" i="7"/>
  <c r="AS58" i="7"/>
  <c r="AS101" i="7"/>
  <c r="AS28" i="7"/>
  <c r="AS42" i="7"/>
  <c r="AS95" i="7"/>
  <c r="AS63" i="7"/>
  <c r="AS44" i="7"/>
  <c r="AS35" i="7"/>
  <c r="AS11" i="7"/>
  <c r="AS87" i="7"/>
  <c r="AS8" i="7"/>
  <c r="AS65" i="7"/>
  <c r="AS49" i="7"/>
  <c r="AS33" i="7"/>
  <c r="AS13" i="7"/>
  <c r="AS32" i="7"/>
  <c r="AS10" i="7"/>
  <c r="AS37" i="7"/>
  <c r="AS107" i="7"/>
  <c r="AS51" i="7"/>
  <c r="AS19" i="7"/>
  <c r="AS20" i="7"/>
  <c r="AS48" i="7"/>
  <c r="AS82" i="7"/>
  <c r="AS66" i="7"/>
  <c r="AS38" i="7"/>
  <c r="AS22" i="7"/>
  <c r="AS45" i="7"/>
  <c r="AS47" i="7"/>
  <c r="AS74" i="7"/>
  <c r="AS78" i="7"/>
  <c r="AS56" i="7"/>
  <c r="AS46" i="7"/>
  <c r="AS60" i="7"/>
  <c r="AS27" i="7"/>
  <c r="AS81" i="7"/>
  <c r="AS17" i="7"/>
  <c r="AS90" i="7"/>
  <c r="AS76" i="7"/>
  <c r="AS86" i="7"/>
  <c r="AS29" i="7"/>
  <c r="AS64" i="7"/>
  <c r="AS72" i="7"/>
  <c r="AS104" i="7"/>
  <c r="AS21" i="7"/>
  <c r="AS79" i="7"/>
  <c r="AS26" i="7"/>
  <c r="AS94" i="7"/>
  <c r="AS18" i="7"/>
  <c r="AS83" i="7"/>
  <c r="AS97" i="7"/>
  <c r="AS77" i="7"/>
  <c r="AS88" i="7"/>
  <c r="AS31" i="7"/>
  <c r="AS80" i="7"/>
  <c r="AS85" i="7"/>
  <c r="AS84" i="7"/>
  <c r="AS36" i="7"/>
  <c r="AQ9" i="7"/>
  <c r="AQ14" i="7"/>
  <c r="AQ94" i="7"/>
  <c r="AQ49" i="7"/>
  <c r="AQ63" i="7"/>
  <c r="AQ10" i="7"/>
  <c r="AQ88" i="7"/>
  <c r="AQ26" i="7"/>
  <c r="AQ90" i="7"/>
  <c r="AQ55" i="7"/>
  <c r="AQ96" i="7"/>
  <c r="AQ45" i="7"/>
  <c r="AQ8" i="7"/>
  <c r="AQ75" i="7"/>
  <c r="AQ93" i="7"/>
  <c r="AQ104" i="7"/>
  <c r="AQ32" i="7"/>
  <c r="AQ39" i="7"/>
  <c r="AQ87" i="7"/>
  <c r="AQ51" i="7"/>
  <c r="AQ62" i="7"/>
  <c r="AQ54" i="7"/>
  <c r="AQ81" i="7"/>
  <c r="AQ15" i="7"/>
  <c r="AQ84" i="7"/>
  <c r="AQ27" i="7"/>
  <c r="AQ65" i="7"/>
  <c r="AQ40" i="7"/>
  <c r="AQ47" i="7"/>
  <c r="AQ12" i="7"/>
  <c r="AQ56" i="7"/>
  <c r="AQ28" i="7"/>
  <c r="O105" i="4"/>
  <c r="AQ85" i="7"/>
  <c r="AQ38" i="7"/>
  <c r="AQ77" i="7"/>
  <c r="AQ44" i="7"/>
  <c r="AQ52" i="7"/>
  <c r="AQ29" i="7"/>
  <c r="AQ78" i="7"/>
  <c r="AQ20" i="7"/>
  <c r="AQ11" i="7"/>
  <c r="AQ95" i="7"/>
  <c r="AQ19" i="7"/>
  <c r="AQ13" i="7"/>
  <c r="I105" i="4" l="1"/>
  <c r="H12" i="32" s="1"/>
  <c r="AQ126" i="7"/>
  <c r="AS126" i="7"/>
  <c r="L92" i="28" l="1"/>
  <c r="AS147" i="7"/>
  <c r="AS146" i="7"/>
  <c r="AS148" i="7"/>
  <c r="AS149" i="7"/>
  <c r="AQ146" i="7"/>
  <c r="AQ147" i="7"/>
  <c r="AQ149" i="7"/>
  <c r="AQ148" i="7"/>
  <c r="L93" i="28"/>
  <c r="N11" i="2" l="1"/>
  <c r="O7" i="6" s="1"/>
  <c r="N10" i="2"/>
  <c r="N7" i="6" s="1"/>
  <c r="N9" i="2"/>
  <c r="M7" i="6" s="1"/>
  <c r="N8" i="2"/>
  <c r="H30" i="32" s="1"/>
  <c r="L7" i="6" s="1"/>
  <c r="N76" i="4" l="1"/>
  <c r="N66" i="4"/>
  <c r="B2" i="33" l="1"/>
  <c r="C2" i="33" s="1"/>
  <c r="C1" i="33" l="1"/>
  <c r="CU1" i="33" l="1" a="1"/>
  <c r="CU1" i="33" s="1"/>
  <c r="U1" i="33" a="1"/>
  <c r="U1" i="33" s="1"/>
  <c r="H1" i="33" a="1"/>
  <c r="H1" i="33" s="1"/>
  <c r="L1" i="33" a="1"/>
  <c r="L1" i="33" s="1"/>
  <c r="AF1" i="33" a="1"/>
  <c r="AF1" i="33" s="1"/>
  <c r="BK1" i="33" a="1"/>
  <c r="BK1" i="33" s="1"/>
  <c r="BE1" i="33" a="1"/>
  <c r="BE1" i="33" s="1"/>
  <c r="BF1" i="33" a="1"/>
  <c r="BF1" i="33" s="1"/>
  <c r="AZ1" i="33" a="1"/>
  <c r="AZ1" i="33" s="1"/>
  <c r="AT1" i="33" a="1"/>
  <c r="AT1" i="33" s="1"/>
  <c r="BQ1" i="33" a="1"/>
  <c r="BQ1" i="33" s="1"/>
  <c r="CH1" i="33" a="1"/>
  <c r="CH1" i="33" s="1"/>
  <c r="W1" i="33" a="1"/>
  <c r="W1" i="33" s="1"/>
  <c r="CN1" i="33" a="1"/>
  <c r="CN1" i="33" s="1"/>
  <c r="BV1" i="33" a="1"/>
  <c r="BV1" i="33" s="1"/>
  <c r="K1" i="33" a="1"/>
  <c r="K1" i="33" s="1"/>
  <c r="V1" i="33" a="1"/>
  <c r="V1" i="33" s="1"/>
  <c r="AS1" i="33" a="1"/>
  <c r="AS1" i="33" s="1"/>
  <c r="CB1" i="33" a="1"/>
  <c r="CB1" i="33" s="1"/>
  <c r="CC1" i="33" a="1"/>
  <c r="CC1" i="33" s="1"/>
  <c r="BP1" i="33" a="1"/>
  <c r="BP1" i="33" s="1"/>
  <c r="F1" i="33" a="1"/>
  <c r="F1" i="33" s="1"/>
  <c r="CI1" i="33" a="1"/>
  <c r="CI1" i="33" s="1"/>
  <c r="CQ1" i="33" a="1"/>
  <c r="CQ1" i="33" s="1"/>
  <c r="CD1" i="33" a="1"/>
  <c r="CD1" i="33" s="1"/>
  <c r="BW1" i="33" a="1"/>
  <c r="BW1" i="33" s="1"/>
  <c r="R1" i="33" a="1"/>
  <c r="R1" i="33" s="1"/>
  <c r="X1" i="33" a="1"/>
  <c r="X1" i="33" s="1"/>
  <c r="AC1" i="33" a="1"/>
  <c r="AC1" i="33" s="1"/>
  <c r="I1" i="33" a="1"/>
  <c r="I1" i="33" s="1"/>
  <c r="AX1" i="33" a="1"/>
  <c r="AX1" i="33" s="1"/>
  <c r="AY1" i="33" a="1"/>
  <c r="AY1" i="33" s="1"/>
  <c r="AM1" i="33" a="1"/>
  <c r="AM1" i="33" s="1"/>
  <c r="BI1" i="33" a="1"/>
  <c r="BI1" i="33" s="1"/>
  <c r="AO1" i="33" a="1"/>
  <c r="AO1" i="33" s="1"/>
  <c r="AB1" i="33" a="1"/>
  <c r="AB1" i="33" s="1"/>
  <c r="AH1" i="33" a="1"/>
  <c r="AH1" i="33" s="1"/>
  <c r="BL1" i="33" a="1"/>
  <c r="BL1" i="33" s="1"/>
  <c r="BZ1" i="33" a="1"/>
  <c r="BZ1" i="33" s="1"/>
  <c r="Z1" i="33" a="1"/>
  <c r="Z1" i="33" s="1"/>
  <c r="CS1" i="33" a="1"/>
  <c r="CS1" i="33" s="1"/>
  <c r="AN1" i="33" a="1"/>
  <c r="AN1" i="33" s="1"/>
  <c r="CO1" i="33" a="1"/>
  <c r="CO1" i="33" s="1"/>
  <c r="BS1" i="33" a="1"/>
  <c r="BS1" i="33" s="1"/>
  <c r="M1" i="33" a="1"/>
  <c r="M1" i="33" s="1"/>
  <c r="CG1" i="33" a="1"/>
  <c r="CG1" i="33" s="1"/>
  <c r="CT1" i="33" a="1"/>
  <c r="CT1" i="33" s="1"/>
  <c r="BC1" i="33" a="1"/>
  <c r="BC1" i="33" s="1"/>
  <c r="G1" i="33" a="1"/>
  <c r="G1" i="33" s="1"/>
  <c r="BM1" i="33" a="1"/>
  <c r="BM1" i="33" s="1"/>
  <c r="AA1" i="33" a="1"/>
  <c r="AA1" i="33" s="1"/>
  <c r="BN1" i="33" a="1"/>
  <c r="BN1" i="33" s="1"/>
  <c r="AP1" i="33" a="1"/>
  <c r="AP1" i="33" s="1"/>
  <c r="BG1" i="33" a="1"/>
  <c r="BG1" i="33" s="1"/>
  <c r="T1" i="33" a="1"/>
  <c r="T1" i="33" s="1"/>
  <c r="BA1" i="33" a="1"/>
  <c r="BA1" i="33" s="1"/>
  <c r="J1" i="33" a="1"/>
  <c r="J1" i="33" s="1"/>
  <c r="BX1" i="33" a="1"/>
  <c r="BX1" i="33" s="1"/>
  <c r="BJ1" i="33" a="1"/>
  <c r="BJ1" i="33" s="1"/>
  <c r="N1" i="33" a="1"/>
  <c r="N1" i="33" s="1"/>
  <c r="BT1" i="33" a="1"/>
  <c r="BT1" i="33" s="1"/>
  <c r="O1" i="33" a="1"/>
  <c r="O1" i="33" s="1"/>
  <c r="BU1" i="33" a="1"/>
  <c r="BU1" i="33" s="1"/>
  <c r="CA1" i="33" a="1"/>
  <c r="CA1" i="33" s="1"/>
  <c r="BO1" i="33" a="1"/>
  <c r="BO1" i="33" s="1"/>
  <c r="AW1" i="33" a="1"/>
  <c r="AW1" i="33" s="1"/>
  <c r="BH1" i="33" a="1"/>
  <c r="BH1" i="33" s="1"/>
  <c r="Q1" i="33" a="1"/>
  <c r="Q1" i="33" s="1"/>
  <c r="CL1" i="33" a="1"/>
  <c r="CL1" i="33" s="1"/>
  <c r="BR1" i="33" a="1"/>
  <c r="BR1" i="33" s="1"/>
  <c r="BY1" i="33" a="1"/>
  <c r="BY1" i="33" s="1"/>
  <c r="CF1" i="33" a="1"/>
  <c r="CF1" i="33" s="1"/>
  <c r="AI1" i="33" a="1"/>
  <c r="AI1" i="33" s="1"/>
  <c r="AJ1" i="33" a="1"/>
  <c r="AJ1" i="33" s="1"/>
  <c r="CP1" i="33" a="1"/>
  <c r="CP1" i="33" s="1"/>
  <c r="AK1" i="33" a="1"/>
  <c r="AK1" i="33" s="1"/>
  <c r="S1" i="33" a="1"/>
  <c r="S1" i="33" s="1"/>
  <c r="AD1" i="33" a="1"/>
  <c r="AD1" i="33" s="1"/>
  <c r="CJ1" i="33" a="1"/>
  <c r="CJ1" i="33" s="1"/>
  <c r="P1" i="33" a="1"/>
  <c r="P1" i="33" s="1"/>
  <c r="CE1" i="33" a="1"/>
  <c r="CE1" i="33" s="1"/>
  <c r="AU1" i="33" a="1"/>
  <c r="AU1" i="33" s="1"/>
  <c r="Y1" i="33" a="1"/>
  <c r="Y1" i="33" s="1"/>
  <c r="CM1" i="33" a="1"/>
  <c r="CM1" i="33" s="1"/>
  <c r="BD1" i="33" a="1"/>
  <c r="BD1" i="33" s="1"/>
  <c r="AQ1" i="33" a="1"/>
  <c r="AQ1" i="33" s="1"/>
  <c r="E1" i="33" a="1"/>
  <c r="E1" i="33" s="1"/>
  <c r="V11" i="4" s="1" a="1"/>
  <c r="V11" i="4" s="1"/>
  <c r="AR1" i="33" a="1"/>
  <c r="AR1" i="33" s="1"/>
  <c r="AV1" i="33" a="1"/>
  <c r="AV1" i="33" s="1"/>
  <c r="AL1" i="33" a="1"/>
  <c r="AL1" i="33" s="1"/>
  <c r="CR1" i="33" a="1"/>
  <c r="CR1" i="33" s="1"/>
  <c r="AE1" i="33" a="1"/>
  <c r="AE1" i="33" s="1"/>
  <c r="CK1" i="33" a="1"/>
  <c r="CK1" i="33" s="1"/>
  <c r="BB1" i="33" a="1"/>
  <c r="BB1" i="33" s="1"/>
  <c r="AG1" i="33" a="1"/>
  <c r="AG1" i="33" s="1"/>
  <c r="DA2" i="33" a="1"/>
  <c r="DA2" i="33" s="1"/>
  <c r="CO2" i="33" a="1"/>
  <c r="CO2" i="33" s="1"/>
  <c r="CG2" i="33" a="1"/>
  <c r="CG2" i="33" s="1"/>
  <c r="BY2" i="33" a="1"/>
  <c r="BY2" i="33" s="1"/>
  <c r="BQ2" i="33" a="1"/>
  <c r="BQ2" i="33" s="1"/>
  <c r="BI2" i="33" a="1"/>
  <c r="BI2" i="33" s="1"/>
  <c r="BA2" i="33" a="1"/>
  <c r="BA2" i="33" s="1"/>
  <c r="AS2" i="33" a="1"/>
  <c r="AS2" i="33" s="1"/>
  <c r="AK2" i="33" a="1"/>
  <c r="AK2" i="33" s="1"/>
  <c r="AC2" i="33" a="1"/>
  <c r="AC2" i="33" s="1"/>
  <c r="U2" i="33" a="1"/>
  <c r="U2" i="33" s="1"/>
  <c r="M2" i="33" a="1"/>
  <c r="M2" i="33" s="1"/>
  <c r="E2" i="33" a="1"/>
  <c r="E2" i="33" s="1"/>
  <c r="BM2" i="33" a="1"/>
  <c r="BM2" i="33" s="1"/>
  <c r="AG2" i="33" a="1"/>
  <c r="AG2" i="33" s="1"/>
  <c r="CR2" i="33" a="1"/>
  <c r="CR2" i="33" s="1"/>
  <c r="BL2" i="33" a="1"/>
  <c r="BL2" i="33" s="1"/>
  <c r="X2" i="33" a="1"/>
  <c r="X2" i="33" s="1"/>
  <c r="CZ2" i="33" a="1"/>
  <c r="CZ2" i="33" s="1"/>
  <c r="BR2" i="33" a="1"/>
  <c r="BR2" i="33" s="1"/>
  <c r="AD2" i="33" a="1"/>
  <c r="AD2" i="33" s="1"/>
  <c r="CV2" i="33" a="1"/>
  <c r="CV2" i="33" s="1"/>
  <c r="DB2" i="33" a="1"/>
  <c r="DB2" i="33" s="1"/>
  <c r="CN2" i="33" a="1"/>
  <c r="CN2" i="33" s="1"/>
  <c r="CF2" i="33" a="1"/>
  <c r="CF2" i="33" s="1"/>
  <c r="BX2" i="33" a="1"/>
  <c r="BX2" i="33" s="1"/>
  <c r="BP2" i="33" a="1"/>
  <c r="BP2" i="33" s="1"/>
  <c r="BH2" i="33" a="1"/>
  <c r="BH2" i="33" s="1"/>
  <c r="AZ2" i="33" a="1"/>
  <c r="AZ2" i="33" s="1"/>
  <c r="AR2" i="33" a="1"/>
  <c r="AR2" i="33" s="1"/>
  <c r="AJ2" i="33" a="1"/>
  <c r="AJ2" i="33" s="1"/>
  <c r="AB2" i="33" a="1"/>
  <c r="AB2" i="33" s="1"/>
  <c r="T2" i="33" a="1"/>
  <c r="T2" i="33" s="1"/>
  <c r="L2" i="33" a="1"/>
  <c r="L2" i="33" s="1"/>
  <c r="CC2" i="33" a="1"/>
  <c r="CC2" i="33" s="1"/>
  <c r="AO2" i="33" a="1"/>
  <c r="AO2" i="33" s="1"/>
  <c r="I2" i="33" a="1"/>
  <c r="I2" i="33" s="1"/>
  <c r="CJ2" i="33" a="1"/>
  <c r="CJ2" i="33" s="1"/>
  <c r="AV2" i="33" a="1"/>
  <c r="AV2" i="33" s="1"/>
  <c r="P2" i="33" a="1"/>
  <c r="P2" i="33" s="1"/>
  <c r="V2" i="33" a="1"/>
  <c r="V2" i="33" s="1"/>
  <c r="CW2" i="33" a="1"/>
  <c r="CW2" i="33" s="1"/>
  <c r="CU2" i="33" a="1"/>
  <c r="CU2" i="33" s="1"/>
  <c r="CM2" i="33" a="1"/>
  <c r="CM2" i="33" s="1"/>
  <c r="CE2" i="33" a="1"/>
  <c r="CE2" i="33" s="1"/>
  <c r="BW2" i="33" a="1"/>
  <c r="BW2" i="33" s="1"/>
  <c r="BO2" i="33" a="1"/>
  <c r="BO2" i="33" s="1"/>
  <c r="BG2" i="33" a="1"/>
  <c r="BG2" i="33" s="1"/>
  <c r="AY2" i="33" a="1"/>
  <c r="AY2" i="33" s="1"/>
  <c r="AQ2" i="33" a="1"/>
  <c r="AQ2" i="33" s="1"/>
  <c r="AI2" i="33" a="1"/>
  <c r="AI2" i="33" s="1"/>
  <c r="AA2" i="33" a="1"/>
  <c r="AA2" i="33" s="1"/>
  <c r="S2" i="33" a="1"/>
  <c r="S2" i="33" s="1"/>
  <c r="K2" i="33" a="1"/>
  <c r="K2" i="33" s="1"/>
  <c r="CK2" i="33" a="1"/>
  <c r="CK2" i="33" s="1"/>
  <c r="BE2" i="33" a="1"/>
  <c r="BE2" i="33" s="1"/>
  <c r="Q2" i="33" a="1"/>
  <c r="Q2" i="33" s="1"/>
  <c r="CB2" i="33" a="1"/>
  <c r="CB2" i="33" s="1"/>
  <c r="AN2" i="33" a="1"/>
  <c r="AN2" i="33" s="1"/>
  <c r="H2" i="33" a="1"/>
  <c r="H2" i="33" s="1"/>
  <c r="CH2" i="33" a="1"/>
  <c r="CH2" i="33" s="1"/>
  <c r="BB2" i="33" a="1"/>
  <c r="BB2" i="33" s="1"/>
  <c r="G2" i="33" a="1"/>
  <c r="G2" i="33" s="1"/>
  <c r="CX2" i="33" a="1"/>
  <c r="CX2" i="33" s="1"/>
  <c r="CT2" i="33" a="1"/>
  <c r="CT2" i="33" s="1"/>
  <c r="CL2" i="33" a="1"/>
  <c r="CL2" i="33" s="1"/>
  <c r="CD2" i="33" a="1"/>
  <c r="CD2" i="33" s="1"/>
  <c r="BV2" i="33" a="1"/>
  <c r="BV2" i="33" s="1"/>
  <c r="BN2" i="33" a="1"/>
  <c r="BN2" i="33" s="1"/>
  <c r="BF2" i="33" a="1"/>
  <c r="BF2" i="33" s="1"/>
  <c r="AX2" i="33" a="1"/>
  <c r="AX2" i="33" s="1"/>
  <c r="AP2" i="33" a="1"/>
  <c r="AP2" i="33" s="1"/>
  <c r="AH2" i="33" a="1"/>
  <c r="AH2" i="33" s="1"/>
  <c r="Z2" i="33" a="1"/>
  <c r="Z2" i="33" s="1"/>
  <c r="R2" i="33" a="1"/>
  <c r="R2" i="33" s="1"/>
  <c r="J2" i="33" a="1"/>
  <c r="J2" i="33" s="1"/>
  <c r="CS2" i="33" a="1"/>
  <c r="CS2" i="33" s="1"/>
  <c r="AW2" i="33" a="1"/>
  <c r="AW2" i="33" s="1"/>
  <c r="Y2" i="33" a="1"/>
  <c r="Y2" i="33" s="1"/>
  <c r="CY2" i="33" a="1"/>
  <c r="CY2" i="33" s="1"/>
  <c r="BT2" i="33" a="1"/>
  <c r="BT2" i="33" s="1"/>
  <c r="AF2" i="33" a="1"/>
  <c r="AF2" i="33" s="1"/>
  <c r="BJ2" i="33" a="1"/>
  <c r="BJ2" i="33" s="1"/>
  <c r="N2" i="33" a="1"/>
  <c r="N2" i="33" s="1"/>
  <c r="BU2" i="33" a="1"/>
  <c r="BU2" i="33" s="1"/>
  <c r="BD2" i="33" a="1"/>
  <c r="BD2" i="33" s="1"/>
  <c r="BZ2" i="33" a="1"/>
  <c r="BZ2" i="33" s="1"/>
  <c r="AL2" i="33" a="1"/>
  <c r="AL2" i="33" s="1"/>
  <c r="CQ2" i="33" a="1"/>
  <c r="CQ2" i="33" s="1"/>
  <c r="CI2" i="33" a="1"/>
  <c r="CI2" i="33" s="1"/>
  <c r="CA2" i="33" a="1"/>
  <c r="CA2" i="33" s="1"/>
  <c r="BS2" i="33" a="1"/>
  <c r="BS2" i="33" s="1"/>
  <c r="BK2" i="33" a="1"/>
  <c r="BK2" i="33" s="1"/>
  <c r="BC2" i="33" a="1"/>
  <c r="BC2" i="33" s="1"/>
  <c r="AU2" i="33" a="1"/>
  <c r="AU2" i="33" s="1"/>
  <c r="AM2" i="33" a="1"/>
  <c r="AM2" i="33" s="1"/>
  <c r="AE2" i="33" a="1"/>
  <c r="AE2" i="33" s="1"/>
  <c r="W2" i="33" a="1"/>
  <c r="W2" i="33" s="1"/>
  <c r="O2" i="33" a="1"/>
  <c r="O2" i="33" s="1"/>
  <c r="F2" i="33" a="1"/>
  <c r="F2" i="33" s="1"/>
  <c r="CP2" i="33" a="1"/>
  <c r="CP2" i="33" s="1"/>
  <c r="AT2" i="33" a="1"/>
  <c r="AT2" i="33" s="1"/>
  <c r="CW1" i="33" a="1"/>
  <c r="CW1" i="33" s="1"/>
  <c r="CX1" i="33" a="1"/>
  <c r="CX1" i="33" s="1"/>
  <c r="CZ1" i="33" a="1"/>
  <c r="CZ1" i="33" s="1"/>
  <c r="DB1" i="33" a="1"/>
  <c r="DB1" i="33" s="1"/>
  <c r="CY1" i="33" a="1"/>
  <c r="CY1" i="33" s="1"/>
  <c r="CV1" i="33" a="1"/>
  <c r="CV1" i="33" s="1"/>
  <c r="DA1" i="33" a="1"/>
  <c r="DA1" i="33" s="1"/>
  <c r="X11" i="4" l="1" a="1"/>
  <c r="X11" i="4" s="1"/>
  <c r="W11" i="4" a="1"/>
  <c r="W11" i="4" s="1"/>
  <c r="V102" i="4" a="1"/>
  <c r="V102" i="4" s="1"/>
  <c r="AA15" i="4" a="1"/>
  <c r="AA15" i="4" s="1"/>
  <c r="H45" i="32" s="1"/>
  <c r="H23" i="6" s="1"/>
  <c r="V64" i="4" a="1"/>
  <c r="V64" i="4" s="1"/>
  <c r="V81" i="4" a="1"/>
  <c r="V81" i="4" s="1"/>
  <c r="AC79" i="4" a="1"/>
  <c r="AC79" i="4" s="1"/>
  <c r="V67" i="4" a="1"/>
  <c r="V67" i="4" s="1"/>
  <c r="V101" i="4" a="1"/>
  <c r="V101" i="4" s="1"/>
  <c r="AD73" i="4" a="1"/>
  <c r="AD73" i="4" s="1"/>
  <c r="V38" i="4" a="1"/>
  <c r="V38" i="4" s="1"/>
  <c r="W69" i="4" a="1"/>
  <c r="W69" i="4" s="1"/>
  <c r="V98" i="4" a="1"/>
  <c r="V98" i="4" s="1"/>
  <c r="V34" i="4" a="1"/>
  <c r="V34" i="4" s="1"/>
  <c r="V59" i="4" a="1"/>
  <c r="V59" i="4" s="1"/>
  <c r="V58" i="4" a="1"/>
  <c r="V58" i="4" s="1"/>
  <c r="W82" i="4" a="1"/>
  <c r="W82" i="4" s="1"/>
  <c r="V96" i="4" a="1"/>
  <c r="V96" i="4" s="1"/>
  <c r="W70" i="4" a="1"/>
  <c r="W70" i="4" s="1"/>
  <c r="V45" i="4" a="1"/>
  <c r="V45" i="4" s="1"/>
  <c r="W75" i="4" a="1"/>
  <c r="W75" i="4" s="1"/>
  <c r="V63" i="4" a="1"/>
  <c r="V63" i="4" s="1"/>
  <c r="V87" i="4" a="1"/>
  <c r="V87" i="4" s="1"/>
  <c r="W35" i="4" a="1"/>
  <c r="W35" i="4" s="1"/>
  <c r="V51" i="11" a="1"/>
  <c r="V51" i="11" s="1"/>
  <c r="V52" i="11" s="1"/>
  <c r="AF51" i="11" a="1"/>
  <c r="AF51" i="11" s="1"/>
  <c r="BB52" i="7" s="1"/>
  <c r="H51" i="11" a="1"/>
  <c r="H51" i="11" s="1"/>
  <c r="H52" i="11" s="1"/>
  <c r="E16" i="2" a="1"/>
  <c r="E16" i="2" s="1"/>
  <c r="J51" i="11" a="1"/>
  <c r="J51" i="11" s="1"/>
  <c r="J52" i="11" s="1"/>
  <c r="G45" i="11" a="1"/>
  <c r="G45" i="11" s="1"/>
  <c r="G46" i="11" s="1"/>
  <c r="L16" i="2" a="1"/>
  <c r="L16" i="2" s="1"/>
  <c r="Y45" i="11" a="1"/>
  <c r="Y45" i="11" s="1"/>
  <c r="Y46" i="11" s="1"/>
  <c r="E45" i="11" a="1"/>
  <c r="E45" i="11" s="1"/>
  <c r="F51" i="11" a="1"/>
  <c r="F51" i="11" s="1"/>
  <c r="F52" i="11" s="1"/>
  <c r="W51" i="11" a="1"/>
  <c r="W51" i="11" s="1"/>
  <c r="W52" i="11" s="1"/>
  <c r="X63" i="4" a="1"/>
  <c r="X63" i="4" s="1"/>
  <c r="N11" i="6" s="1"/>
  <c r="X41" i="4" a="1"/>
  <c r="X41" i="4" s="1"/>
  <c r="X48" i="4" a="1"/>
  <c r="X48" i="4" s="1"/>
  <c r="X76" i="4" a="1"/>
  <c r="X76" i="4" s="1"/>
  <c r="X89" i="4" a="1"/>
  <c r="X89" i="4" s="1"/>
  <c r="X30" i="4" a="1"/>
  <c r="X30" i="4" s="1"/>
  <c r="X98" i="4" a="1"/>
  <c r="X98" i="4" s="1"/>
  <c r="AD15" i="4" a="1"/>
  <c r="AD15" i="4" s="1"/>
  <c r="X81" i="4" a="1"/>
  <c r="X81" i="4" s="1"/>
  <c r="X66" i="4" a="1"/>
  <c r="X66" i="4" s="1"/>
  <c r="X67" i="4" a="1"/>
  <c r="X67" i="4" s="1"/>
  <c r="W101" i="4" a="1"/>
  <c r="W101" i="4" s="1"/>
  <c r="X73" i="4" a="1"/>
  <c r="X73" i="4" s="1"/>
  <c r="V48" i="4" a="1"/>
  <c r="V48" i="4" s="1"/>
  <c r="W87" i="4" a="1"/>
  <c r="W87" i="4" s="1"/>
  <c r="W74" i="4" a="1"/>
  <c r="W74" i="4" s="1"/>
  <c r="W62" i="4" a="1"/>
  <c r="W62" i="4" s="1"/>
  <c r="V90" i="4" a="1"/>
  <c r="V90" i="4" s="1"/>
  <c r="V42" i="4" a="1"/>
  <c r="V42" i="4" s="1"/>
  <c r="W86" i="4" a="1"/>
  <c r="W86" i="4" s="1"/>
  <c r="V31" i="4" a="1"/>
  <c r="V31" i="4" s="1"/>
  <c r="W85" i="4" a="1"/>
  <c r="W85" i="4" s="1"/>
  <c r="V77" i="4" a="1"/>
  <c r="V77" i="4" s="1"/>
  <c r="W76" i="4" a="1"/>
  <c r="W76" i="4" s="1"/>
  <c r="V75" i="4" a="1"/>
  <c r="V75" i="4" s="1"/>
  <c r="V30" i="4" a="1"/>
  <c r="V30" i="4" s="1"/>
  <c r="W97" i="4" a="1"/>
  <c r="W97" i="4" s="1"/>
  <c r="I45" i="11" a="1"/>
  <c r="I45" i="11" s="1"/>
  <c r="I46" i="11" s="1"/>
  <c r="R45" i="11" a="1"/>
  <c r="R45" i="11" s="1"/>
  <c r="R46" i="11" s="1"/>
  <c r="C16" i="2" a="1"/>
  <c r="C16" i="2" s="1"/>
  <c r="G16" i="2" a="1"/>
  <c r="G16" i="2" s="1"/>
  <c r="P45" i="11" a="1"/>
  <c r="P45" i="11" s="1"/>
  <c r="P46" i="11" s="1"/>
  <c r="I16" i="2" a="1"/>
  <c r="I16" i="2" s="1"/>
  <c r="L17" i="2" a="1"/>
  <c r="L17" i="2" s="1"/>
  <c r="L9" i="2" s="1"/>
  <c r="S45" i="11" a="1"/>
  <c r="S45" i="11" s="1"/>
  <c r="S46" i="11" s="1"/>
  <c r="G51" i="11" a="1"/>
  <c r="G51" i="11" s="1"/>
  <c r="G52" i="11" s="1"/>
  <c r="X51" i="11" a="1"/>
  <c r="X51" i="11" s="1"/>
  <c r="X52" i="11" s="1"/>
  <c r="K16" i="2" a="1"/>
  <c r="K16" i="2" s="1"/>
  <c r="X59" i="4" a="1"/>
  <c r="X59" i="4" s="1"/>
  <c r="N9" i="6" s="1"/>
  <c r="X85" i="4" a="1"/>
  <c r="X85" i="4" s="1"/>
  <c r="X68" i="4" a="1"/>
  <c r="X68" i="4" s="1"/>
  <c r="X82" i="4" a="1"/>
  <c r="X82" i="4" s="1"/>
  <c r="X84" i="4" a="1"/>
  <c r="X84" i="4" s="1"/>
  <c r="X42" i="4" a="1"/>
  <c r="X42" i="4" s="1"/>
  <c r="X75" i="4" a="1"/>
  <c r="X75" i="4" s="1"/>
  <c r="C18" i="2" a="1"/>
  <c r="C18" i="2" s="1"/>
  <c r="C10" i="2" s="1"/>
  <c r="G18" i="2" a="1"/>
  <c r="G18" i="2" s="1"/>
  <c r="G10" i="2" s="1"/>
  <c r="AC15" i="4" a="1"/>
  <c r="AC15" i="4" s="1"/>
  <c r="X64" i="4" a="1"/>
  <c r="X64" i="4" s="1"/>
  <c r="AD79" i="4" a="1"/>
  <c r="AD79" i="4" s="1"/>
  <c r="X101" i="4" a="1"/>
  <c r="X101" i="4" s="1"/>
  <c r="V73" i="4" a="1"/>
  <c r="V73" i="4" s="1"/>
  <c r="V76" i="4" a="1"/>
  <c r="V76" i="4" s="1"/>
  <c r="W84" i="4" a="1"/>
  <c r="W84" i="4" s="1"/>
  <c r="W93" i="4" a="1"/>
  <c r="W93" i="4" s="1"/>
  <c r="W63" i="4" a="1"/>
  <c r="W63" i="4" s="1"/>
  <c r="M11" i="6" s="1"/>
  <c r="W31" i="4" a="1"/>
  <c r="W31" i="4" s="1"/>
  <c r="V94" i="4" a="1"/>
  <c r="V94" i="4" s="1"/>
  <c r="W89" i="4" a="1"/>
  <c r="W89" i="4" s="1"/>
  <c r="V83" i="4" a="1"/>
  <c r="V83" i="4" s="1"/>
  <c r="AA63" i="4" a="1"/>
  <c r="AA63" i="4" s="1"/>
  <c r="H43" i="32" s="1"/>
  <c r="H21" i="6" s="1"/>
  <c r="V70" i="4" a="1"/>
  <c r="V70" i="4" s="1"/>
  <c r="W57" i="4" a="1"/>
  <c r="W57" i="4" s="1"/>
  <c r="V82" i="4" a="1"/>
  <c r="V82" i="4" s="1"/>
  <c r="W34" i="4" a="1"/>
  <c r="W34" i="4" s="1"/>
  <c r="F16" i="2" a="1"/>
  <c r="F16" i="2" s="1"/>
  <c r="Q45" i="11" a="1"/>
  <c r="Q45" i="11" s="1"/>
  <c r="Q46" i="11" s="1"/>
  <c r="U51" i="11" a="1"/>
  <c r="U51" i="11" s="1"/>
  <c r="U52" i="11" s="1"/>
  <c r="AA51" i="11" a="1"/>
  <c r="AA51" i="11" s="1"/>
  <c r="AA52" i="11" s="1"/>
  <c r="F17" i="2" a="1"/>
  <c r="F17" i="2" s="1"/>
  <c r="F9" i="2" s="1"/>
  <c r="AA45" i="11" a="1"/>
  <c r="AA45" i="11" s="1"/>
  <c r="AA46" i="11" s="1"/>
  <c r="L45" i="11" a="1"/>
  <c r="L45" i="11" s="1"/>
  <c r="L46" i="11" s="1"/>
  <c r="X80" i="4" a="1"/>
  <c r="X80" i="4" s="1"/>
  <c r="X69" i="4" a="1"/>
  <c r="X69" i="4" s="1"/>
  <c r="X57" i="4" a="1"/>
  <c r="X57" i="4" s="1"/>
  <c r="X77" i="4" a="1"/>
  <c r="X77" i="4" s="1"/>
  <c r="X102" i="4" a="1"/>
  <c r="X102" i="4" s="1"/>
  <c r="AD16" i="4" a="1"/>
  <c r="AD16" i="4" s="1"/>
  <c r="W29" i="4" a="1"/>
  <c r="W29" i="4" s="1"/>
  <c r="AA22" i="4" a="1"/>
  <c r="AA22" i="4" s="1"/>
  <c r="H48" i="32" s="1"/>
  <c r="H26" i="6" s="1"/>
  <c r="AA79" i="4" a="1"/>
  <c r="AA79" i="4" s="1"/>
  <c r="H41" i="32" s="1"/>
  <c r="H19" i="6" s="1"/>
  <c r="AB73" i="4" a="1"/>
  <c r="AB73" i="4" s="1"/>
  <c r="V95" i="4" a="1"/>
  <c r="V95" i="4" s="1"/>
  <c r="V68" i="4" a="1"/>
  <c r="V68" i="4" s="1"/>
  <c r="W68" i="4" a="1"/>
  <c r="W68" i="4" s="1"/>
  <c r="W71" i="4" a="1"/>
  <c r="W71" i="4" s="1"/>
  <c r="W91" i="4" a="1"/>
  <c r="W91" i="4" s="1"/>
  <c r="V80" i="4" a="1"/>
  <c r="V80" i="4" s="1"/>
  <c r="V88" i="4" a="1"/>
  <c r="V88" i="4" s="1"/>
  <c r="W30" i="4" a="1"/>
  <c r="W30" i="4" s="1"/>
  <c r="AD62" i="4" a="1"/>
  <c r="AD62" i="4" s="1"/>
  <c r="V41" i="4" a="1"/>
  <c r="V41" i="4" s="1"/>
  <c r="V91" i="4" a="1"/>
  <c r="V91" i="4" s="1"/>
  <c r="AA95" i="4" a="1"/>
  <c r="AA95" i="4" s="1"/>
  <c r="V85" i="4" a="1"/>
  <c r="V85" i="4" s="1"/>
  <c r="V99" i="4" a="1"/>
  <c r="V99" i="4" s="1"/>
  <c r="W98" i="4" a="1"/>
  <c r="W98" i="4" s="1"/>
  <c r="AB51" i="11" a="1"/>
  <c r="AB51" i="11" s="1"/>
  <c r="AB52" i="11" s="1"/>
  <c r="J16" i="2" a="1"/>
  <c r="J16" i="2" s="1"/>
  <c r="Z51" i="11" a="1"/>
  <c r="Z51" i="11" s="1"/>
  <c r="Z52" i="11" s="1"/>
  <c r="V45" i="11" a="1"/>
  <c r="V45" i="11" s="1"/>
  <c r="V46" i="11" s="1"/>
  <c r="AD45" i="11" a="1"/>
  <c r="AD45" i="11" s="1"/>
  <c r="AD46" i="11" s="1"/>
  <c r="Y51" i="11" a="1"/>
  <c r="Y51" i="11" s="1"/>
  <c r="Y52" i="11" s="1"/>
  <c r="H16" i="2" a="1"/>
  <c r="H16" i="2" s="1"/>
  <c r="O45" i="11" a="1"/>
  <c r="O45" i="11" s="1"/>
  <c r="O46" i="11" s="1"/>
  <c r="S51" i="11" a="1"/>
  <c r="S51" i="11" s="1"/>
  <c r="S52" i="11" s="1"/>
  <c r="E51" i="11" a="1"/>
  <c r="E51" i="11" s="1"/>
  <c r="X38" i="4" a="1"/>
  <c r="X38" i="4" s="1"/>
  <c r="AC63" i="4" a="1"/>
  <c r="AC63" i="4" s="1"/>
  <c r="X95" i="4" a="1"/>
  <c r="X95" i="4" s="1"/>
  <c r="X35" i="4" a="1"/>
  <c r="X35" i="4" s="1"/>
  <c r="X90" i="4" a="1"/>
  <c r="X90" i="4" s="1"/>
  <c r="X96" i="4" a="1"/>
  <c r="X96" i="4" s="1"/>
  <c r="X87" i="4" a="1"/>
  <c r="X87" i="4" s="1"/>
  <c r="X74" i="4" a="1"/>
  <c r="X74" i="4" s="1"/>
  <c r="J18" i="2" a="1"/>
  <c r="J18" i="2" s="1"/>
  <c r="J10" i="2" s="1"/>
  <c r="W100" i="4" a="1"/>
  <c r="W100" i="4" s="1"/>
  <c r="AB16" i="4" a="1"/>
  <c r="AB16" i="4" s="1"/>
  <c r="X29" i="4" a="1"/>
  <c r="X29" i="4" s="1"/>
  <c r="AD22" i="4" a="1"/>
  <c r="AD22" i="4" s="1"/>
  <c r="W79" i="4" a="1"/>
  <c r="W79" i="4" s="1"/>
  <c r="AB79" i="4" a="1"/>
  <c r="AB79" i="4" s="1"/>
  <c r="AA73" i="4" a="1"/>
  <c r="AA73" i="4" s="1"/>
  <c r="H40" i="32" s="1"/>
  <c r="H18" i="6" s="1"/>
  <c r="W77" i="4" a="1"/>
  <c r="W77" i="4" s="1"/>
  <c r="V89" i="4" a="1"/>
  <c r="V89" i="4" s="1"/>
  <c r="W72" i="4" a="1"/>
  <c r="W72" i="4" s="1"/>
  <c r="V60" i="4" a="1"/>
  <c r="V60" i="4" s="1"/>
  <c r="W99" i="4" a="1"/>
  <c r="W99" i="4" s="1"/>
  <c r="W60" i="4" a="1"/>
  <c r="W60" i="4" s="1"/>
  <c r="V92" i="4" a="1"/>
  <c r="V92" i="4" s="1"/>
  <c r="AA62" i="4" a="1"/>
  <c r="AA62" i="4" s="1"/>
  <c r="H42" i="32" s="1"/>
  <c r="H20" i="6" s="1"/>
  <c r="W39" i="4" a="1"/>
  <c r="W39" i="4" s="1"/>
  <c r="W83" i="4" a="1"/>
  <c r="W83" i="4" s="1"/>
  <c r="AD63" i="4" a="1"/>
  <c r="AD63" i="4" s="1"/>
  <c r="V69" i="4" a="1"/>
  <c r="V69" i="4" s="1"/>
  <c r="V84" i="4" a="1"/>
  <c r="V84" i="4" s="1"/>
  <c r="AD88" i="4" a="1"/>
  <c r="AD88" i="4" s="1"/>
  <c r="AA88" i="4" a="1"/>
  <c r="AA88" i="4" s="1"/>
  <c r="H45" i="11" a="1"/>
  <c r="H45" i="11" s="1"/>
  <c r="H46" i="11" s="1"/>
  <c r="M45" i="11" a="1"/>
  <c r="M45" i="11" s="1"/>
  <c r="M46" i="11" s="1"/>
  <c r="I51" i="11" a="1"/>
  <c r="I51" i="11" s="1"/>
  <c r="I52" i="11" s="1"/>
  <c r="R51" i="11" a="1"/>
  <c r="R51" i="11" s="1"/>
  <c r="R52" i="11" s="1"/>
  <c r="Z45" i="11" a="1"/>
  <c r="Z45" i="11" s="1"/>
  <c r="Z46" i="11" s="1"/>
  <c r="N45" i="11" a="1"/>
  <c r="N45" i="11" s="1"/>
  <c r="N46" i="11" s="1"/>
  <c r="E17" i="2" a="1"/>
  <c r="E17" i="2" s="1"/>
  <c r="E9" i="2" s="1"/>
  <c r="T51" i="11" a="1"/>
  <c r="T51" i="11" s="1"/>
  <c r="T52" i="11" s="1"/>
  <c r="X39" i="4" a="1"/>
  <c r="X39" i="4" s="1"/>
  <c r="X60" i="4" a="1"/>
  <c r="X60" i="4" s="1"/>
  <c r="AC95" i="4" a="1"/>
  <c r="AC95" i="4" s="1"/>
  <c r="X94" i="4" a="1"/>
  <c r="X94" i="4" s="1"/>
  <c r="X31" i="4" a="1"/>
  <c r="X31" i="4" s="1"/>
  <c r="X70" i="4" a="1"/>
  <c r="X70" i="4" s="1"/>
  <c r="H18" i="2" a="1"/>
  <c r="H18" i="2" s="1"/>
  <c r="H10" i="2" s="1"/>
  <c r="X100" i="4" a="1"/>
  <c r="X100" i="4" s="1"/>
  <c r="AC16" i="4" a="1"/>
  <c r="AC16" i="4" s="1"/>
  <c r="AC22" i="4" a="1"/>
  <c r="AC22" i="4" s="1"/>
  <c r="X79" i="4" a="1"/>
  <c r="X79" i="4" s="1"/>
  <c r="V79" i="4" a="1"/>
  <c r="V79" i="4" s="1"/>
  <c r="V47" i="4" a="1"/>
  <c r="V47" i="4" s="1"/>
  <c r="V74" i="4" a="1"/>
  <c r="V74" i="4" s="1"/>
  <c r="V35" i="4" a="1"/>
  <c r="V35" i="4" s="1"/>
  <c r="V86" i="4" a="1"/>
  <c r="V86" i="4" s="1"/>
  <c r="W56" i="4" a="1"/>
  <c r="W56" i="4" s="1"/>
  <c r="W78" i="4" a="1"/>
  <c r="W78" i="4" s="1"/>
  <c r="V72" i="4" a="1"/>
  <c r="V72" i="4" s="1"/>
  <c r="AD95" i="4" a="1"/>
  <c r="AD95" i="4" s="1"/>
  <c r="W45" i="4" a="1"/>
  <c r="W45" i="4" s="1"/>
  <c r="V23" i="4" a="1"/>
  <c r="V23" i="4" s="1"/>
  <c r="W38" i="4" a="1"/>
  <c r="W38" i="4" s="1"/>
  <c r="AB63" i="4" a="1"/>
  <c r="AB63" i="4" s="1"/>
  <c r="V62" i="4" a="1"/>
  <c r="V62" i="4" s="1"/>
  <c r="AB62" i="4" a="1"/>
  <c r="AB62" i="4" s="1"/>
  <c r="AE45" i="11" a="1"/>
  <c r="AE45" i="11" s="1"/>
  <c r="AE46" i="11" s="1"/>
  <c r="Q51" i="11" a="1"/>
  <c r="Q51" i="11" s="1"/>
  <c r="Q52" i="11" s="1"/>
  <c r="K51" i="11" a="1"/>
  <c r="K51" i="11" s="1"/>
  <c r="K52" i="11" s="1"/>
  <c r="U45" i="11" a="1"/>
  <c r="U45" i="11" s="1"/>
  <c r="U46" i="11" s="1"/>
  <c r="I17" i="2" a="1"/>
  <c r="I17" i="2" s="1"/>
  <c r="I9" i="2" s="1"/>
  <c r="G17" i="2" a="1"/>
  <c r="G17" i="2" s="1"/>
  <c r="G9" i="2" s="1"/>
  <c r="W45" i="11" a="1"/>
  <c r="W45" i="11" s="1"/>
  <c r="W46" i="11" s="1"/>
  <c r="D17" i="2" a="1"/>
  <c r="D17" i="2" s="1"/>
  <c r="D9" i="2" s="1"/>
  <c r="X45" i="4" a="1"/>
  <c r="X45" i="4" s="1"/>
  <c r="X46" i="4" a="1"/>
  <c r="X46" i="4" s="1"/>
  <c r="X56" i="4" a="1"/>
  <c r="X56" i="4" s="1"/>
  <c r="AC88" i="4" a="1"/>
  <c r="AC88" i="4" s="1"/>
  <c r="X88" i="4" a="1"/>
  <c r="X88" i="4" s="1"/>
  <c r="X92" i="4" a="1"/>
  <c r="X92" i="4" s="1"/>
  <c r="X72" i="4" a="1"/>
  <c r="X72" i="4" s="1"/>
  <c r="X93" i="4" a="1"/>
  <c r="X93" i="4" s="1"/>
  <c r="X83" i="4" a="1"/>
  <c r="X83" i="4" s="1"/>
  <c r="K18" i="2" a="1"/>
  <c r="K18" i="2" s="1"/>
  <c r="K10" i="2" s="1"/>
  <c r="F18" i="2" a="1"/>
  <c r="F18" i="2" s="1"/>
  <c r="F10" i="2" s="1"/>
  <c r="V100" i="4" a="1"/>
  <c r="V100" i="4" s="1"/>
  <c r="AA16" i="4" a="1"/>
  <c r="AA16" i="4" s="1"/>
  <c r="H44" i="32" s="1"/>
  <c r="H22" i="6" s="1"/>
  <c r="V29" i="4" a="1"/>
  <c r="V29" i="4" s="1"/>
  <c r="AB22" i="4" a="1"/>
  <c r="AB22" i="4" s="1"/>
  <c r="W66" i="4" a="1"/>
  <c r="W66" i="4" s="1"/>
  <c r="W73" i="4" a="1"/>
  <c r="W73" i="4" s="1"/>
  <c r="W90" i="4" a="1"/>
  <c r="W90" i="4" s="1"/>
  <c r="AB95" i="4" a="1"/>
  <c r="AB95" i="4" s="1"/>
  <c r="W41" i="4" a="1"/>
  <c r="W41" i="4" s="1"/>
  <c r="V78" i="4" a="1"/>
  <c r="V78" i="4" s="1"/>
  <c r="W23" i="4" a="1"/>
  <c r="W23" i="4" s="1"/>
  <c r="V40" i="4" a="1"/>
  <c r="V40" i="4" s="1"/>
  <c r="W59" i="4" a="1"/>
  <c r="W59" i="4" s="1"/>
  <c r="M9" i="6" s="1"/>
  <c r="W96" i="4" a="1"/>
  <c r="W96" i="4" s="1"/>
  <c r="W88" i="4" a="1"/>
  <c r="W88" i="4" s="1"/>
  <c r="AB88" i="4" a="1"/>
  <c r="AB88" i="4" s="1"/>
  <c r="W48" i="4" a="1"/>
  <c r="W48" i="4" s="1"/>
  <c r="W95" i="4" a="1"/>
  <c r="W95" i="4" s="1"/>
  <c r="V46" i="4" a="1"/>
  <c r="V46" i="4" s="1"/>
  <c r="W40" i="4" a="1"/>
  <c r="W40" i="4" s="1"/>
  <c r="AF45" i="11" a="1"/>
  <c r="AF45" i="11" s="1"/>
  <c r="BA52" i="7" s="1"/>
  <c r="J45" i="11" a="1"/>
  <c r="J45" i="11" s="1"/>
  <c r="J46" i="11" s="1"/>
  <c r="T45" i="11" a="1"/>
  <c r="T45" i="11" s="1"/>
  <c r="T46" i="11" s="1"/>
  <c r="AB45" i="11" a="1"/>
  <c r="AB45" i="11" s="1"/>
  <c r="AB46" i="11" s="1"/>
  <c r="M51" i="11" a="1"/>
  <c r="M51" i="11" s="1"/>
  <c r="M52" i="11" s="1"/>
  <c r="AC51" i="11" a="1"/>
  <c r="AC51" i="11" s="1"/>
  <c r="AC52" i="11" s="1"/>
  <c r="AC45" i="11" a="1"/>
  <c r="AC45" i="11" s="1"/>
  <c r="AC46" i="11" s="1"/>
  <c r="X45" i="11" a="1"/>
  <c r="X45" i="11" s="1"/>
  <c r="X46" i="11" s="1"/>
  <c r="D16" i="2" a="1"/>
  <c r="D16" i="2" s="1"/>
  <c r="D8" i="2" s="1"/>
  <c r="O51" i="11" a="1"/>
  <c r="O51" i="11" s="1"/>
  <c r="O52" i="11" s="1"/>
  <c r="H17" i="2" a="1"/>
  <c r="H17" i="2" s="1"/>
  <c r="H9" i="2" s="1"/>
  <c r="X62" i="4" a="1"/>
  <c r="X62" i="4" s="1"/>
  <c r="X40" i="4" a="1"/>
  <c r="X40" i="4" s="1"/>
  <c r="X58" i="4" a="1"/>
  <c r="X58" i="4" s="1"/>
  <c r="X86" i="4" a="1"/>
  <c r="X86" i="4" s="1"/>
  <c r="X97" i="4" a="1"/>
  <c r="X97" i="4" s="1"/>
  <c r="E18" i="2" a="1"/>
  <c r="E18" i="2" s="1"/>
  <c r="E10" i="2" s="1"/>
  <c r="D18" i="2" a="1"/>
  <c r="D18" i="2" s="1"/>
  <c r="D10" i="2" s="1"/>
  <c r="L18" i="2" a="1"/>
  <c r="L18" i="2" s="1"/>
  <c r="L10" i="2" s="1"/>
  <c r="W102" i="4" a="1"/>
  <c r="W102" i="4" s="1"/>
  <c r="AB15" i="4" a="1"/>
  <c r="AB15" i="4" s="1"/>
  <c r="W64" i="4" a="1"/>
  <c r="W64" i="4" s="1"/>
  <c r="W81" i="4" a="1"/>
  <c r="W81" i="4" s="1"/>
  <c r="V66" i="4" a="1"/>
  <c r="V66" i="4" s="1"/>
  <c r="W67" i="4" a="1"/>
  <c r="W67" i="4" s="1"/>
  <c r="AC73" i="4" a="1"/>
  <c r="AC73" i="4" s="1"/>
  <c r="W42" i="4" a="1"/>
  <c r="W42" i="4" s="1"/>
  <c r="W46" i="4" a="1"/>
  <c r="W46" i="4" s="1"/>
  <c r="V39" i="4" a="1"/>
  <c r="V39" i="4" s="1"/>
  <c r="V97" i="4" a="1"/>
  <c r="V97" i="4" s="1"/>
  <c r="W80" i="4" a="1"/>
  <c r="W80" i="4" s="1"/>
  <c r="X71" i="4" a="1"/>
  <c r="X71" i="4" s="1"/>
  <c r="W47" i="4" a="1"/>
  <c r="W47" i="4" s="1"/>
  <c r="V71" i="4" a="1"/>
  <c r="V71" i="4" s="1"/>
  <c r="W92" i="4" a="1"/>
  <c r="W92" i="4" s="1"/>
  <c r="V57" i="4" a="1"/>
  <c r="V57" i="4" s="1"/>
  <c r="W94" i="4" a="1"/>
  <c r="W94" i="4" s="1"/>
  <c r="V56" i="4" a="1"/>
  <c r="V56" i="4" s="1"/>
  <c r="V93" i="4" a="1"/>
  <c r="V93" i="4" s="1"/>
  <c r="W58" i="4" a="1"/>
  <c r="W58" i="4" s="1"/>
  <c r="K17" i="2" a="1"/>
  <c r="K17" i="2" s="1"/>
  <c r="K9" i="2" s="1"/>
  <c r="J17" i="2" a="1"/>
  <c r="J17" i="2" s="1"/>
  <c r="J9" i="2" s="1"/>
  <c r="AE51" i="11" a="1"/>
  <c r="AE51" i="11" s="1"/>
  <c r="AE52" i="11" s="1"/>
  <c r="AD51" i="11" a="1"/>
  <c r="AD51" i="11" s="1"/>
  <c r="AD52" i="11" s="1"/>
  <c r="K45" i="11" a="1"/>
  <c r="K45" i="11" s="1"/>
  <c r="K46" i="11" s="1"/>
  <c r="F45" i="11" a="1"/>
  <c r="F45" i="11" s="1"/>
  <c r="F46" i="11" s="1"/>
  <c r="P51" i="11" a="1"/>
  <c r="P51" i="11" s="1"/>
  <c r="P52" i="11" s="1"/>
  <c r="L51" i="11" a="1"/>
  <c r="L51" i="11" s="1"/>
  <c r="L52" i="11" s="1"/>
  <c r="N51" i="11" a="1"/>
  <c r="N51" i="11" s="1"/>
  <c r="N52" i="11" s="1"/>
  <c r="AC62" i="4" a="1"/>
  <c r="AC62" i="4" s="1"/>
  <c r="X47" i="4" a="1"/>
  <c r="X47" i="4" s="1"/>
  <c r="X78" i="4" a="1"/>
  <c r="X78" i="4" s="1"/>
  <c r="X91" i="4" a="1"/>
  <c r="X91" i="4" s="1"/>
  <c r="X34" i="4" a="1"/>
  <c r="X34" i="4" s="1"/>
  <c r="X99" i="4" a="1"/>
  <c r="X99" i="4" s="1"/>
  <c r="X23" i="4" a="1"/>
  <c r="X23" i="4" s="1"/>
  <c r="I18" i="2" a="1"/>
  <c r="I18" i="2" s="1"/>
  <c r="I10" i="2" s="1"/>
  <c r="R17" i="3" a="1"/>
  <c r="R17" i="3" s="1"/>
  <c r="BB128" i="7"/>
  <c r="BA129" i="7"/>
  <c r="AZ129" i="7"/>
  <c r="BB129" i="7"/>
  <c r="BA128" i="7"/>
  <c r="AZ128" i="7"/>
  <c r="F39" i="11" a="1"/>
  <c r="F39" i="11" s="1"/>
  <c r="F32" i="11" s="1"/>
  <c r="I39" i="11" a="1"/>
  <c r="I39" i="11" s="1"/>
  <c r="I36" i="11" s="1"/>
  <c r="AC39" i="11" a="1"/>
  <c r="AC39" i="11" s="1"/>
  <c r="AC42" i="11" s="1"/>
  <c r="AB39" i="11" a="1"/>
  <c r="AB39" i="11" s="1"/>
  <c r="AB42" i="11" s="1"/>
  <c r="E46" i="11"/>
  <c r="K17" i="3" a="1"/>
  <c r="K17" i="3" s="1"/>
  <c r="K43" i="3" s="1"/>
  <c r="K45" i="3" s="1"/>
  <c r="G17" i="3" a="1"/>
  <c r="G17" i="3" s="1"/>
  <c r="G43" i="3" s="1"/>
  <c r="G45" i="3" s="1"/>
  <c r="P17" i="3" a="1"/>
  <c r="P17" i="3" s="1"/>
  <c r="P43" i="3" s="1"/>
  <c r="P45" i="3" s="1"/>
  <c r="C17" i="3" a="1"/>
  <c r="C17" i="3" s="1"/>
  <c r="C43" i="3" s="1"/>
  <c r="C45" i="3" s="1"/>
  <c r="D17" i="3" a="1"/>
  <c r="D17" i="3" s="1"/>
  <c r="D43" i="3" s="1"/>
  <c r="D45" i="3" s="1"/>
  <c r="L17" i="3" a="1"/>
  <c r="L17" i="3" s="1"/>
  <c r="L43" i="3" s="1"/>
  <c r="L45" i="3" s="1"/>
  <c r="M17" i="3" a="1"/>
  <c r="M17" i="3" s="1"/>
  <c r="M43" i="3" s="1"/>
  <c r="M45" i="3" s="1"/>
  <c r="I17" i="3" a="1"/>
  <c r="I17" i="3" s="1"/>
  <c r="I43" i="3" s="1"/>
  <c r="I45" i="3" s="1"/>
  <c r="E17" i="3" a="1"/>
  <c r="E17" i="3" s="1"/>
  <c r="E43" i="3" s="1"/>
  <c r="E45" i="3" s="1"/>
  <c r="S17" i="3" a="1"/>
  <c r="S17" i="3" s="1"/>
  <c r="O17" i="3" a="1"/>
  <c r="O17" i="3" s="1"/>
  <c r="O43" i="3" s="1"/>
  <c r="O45" i="3" s="1"/>
  <c r="J17" i="3" a="1"/>
  <c r="J17" i="3" s="1"/>
  <c r="J43" i="3" s="1"/>
  <c r="J45" i="3" s="1"/>
  <c r="N17" i="3" a="1"/>
  <c r="N17" i="3" s="1"/>
  <c r="N43" i="3" s="1"/>
  <c r="N45" i="3" s="1"/>
  <c r="Q17" i="3" a="1"/>
  <c r="Q17" i="3" s="1"/>
  <c r="H17" i="3" a="1"/>
  <c r="H17" i="3" s="1"/>
  <c r="H43" i="3" s="1"/>
  <c r="H45" i="3" s="1"/>
  <c r="F17" i="3" a="1"/>
  <c r="F17" i="3" s="1"/>
  <c r="F43" i="3" s="1"/>
  <c r="F45" i="3" s="1"/>
  <c r="BB102" i="7"/>
  <c r="BA118" i="7"/>
  <c r="BA108" i="7"/>
  <c r="AZ97" i="7"/>
  <c r="BB97" i="7"/>
  <c r="BA96" i="7"/>
  <c r="BB96" i="7"/>
  <c r="AZ103" i="7"/>
  <c r="L39" i="11" a="1"/>
  <c r="L39" i="11" s="1"/>
  <c r="L33" i="11" s="1"/>
  <c r="Z39" i="11" a="1"/>
  <c r="Z39" i="11" s="1"/>
  <c r="Z32" i="11" s="1"/>
  <c r="O39" i="11" a="1"/>
  <c r="O39" i="11" s="1"/>
  <c r="O32" i="11" s="1"/>
  <c r="BB118" i="7"/>
  <c r="BB103" i="7"/>
  <c r="BA120" i="7"/>
  <c r="BB121" i="7"/>
  <c r="AZ120" i="7"/>
  <c r="AZ94" i="7"/>
  <c r="U39" i="11" a="1"/>
  <c r="U39" i="11" s="1"/>
  <c r="U32" i="11" s="1"/>
  <c r="E39" i="11" a="1"/>
  <c r="E39" i="11" s="1"/>
  <c r="E42" i="11" s="1"/>
  <c r="H39" i="11" a="1"/>
  <c r="H39" i="11" s="1"/>
  <c r="H35" i="11" s="1"/>
  <c r="J39" i="11" a="1"/>
  <c r="J39" i="11" s="1"/>
  <c r="J42" i="11" s="1"/>
  <c r="BB104" i="7"/>
  <c r="BB95" i="7"/>
  <c r="BB120" i="7"/>
  <c r="AZ108" i="7"/>
  <c r="BA102" i="7"/>
  <c r="V39" i="11" a="1"/>
  <c r="V39" i="11" s="1"/>
  <c r="V42" i="11" s="1"/>
  <c r="W39" i="11" a="1"/>
  <c r="W39" i="11" s="1"/>
  <c r="W32" i="11" s="1"/>
  <c r="G39" i="11" a="1"/>
  <c r="G39" i="11" s="1"/>
  <c r="G35" i="11" s="1"/>
  <c r="K39" i="11" a="1"/>
  <c r="K39" i="11" s="1"/>
  <c r="K33" i="11" s="1"/>
  <c r="AZ121" i="7"/>
  <c r="AZ118" i="7"/>
  <c r="AZ95" i="7"/>
  <c r="BA95" i="7"/>
  <c r="BA107" i="7"/>
  <c r="Q39" i="11" a="1"/>
  <c r="Q39" i="11" s="1"/>
  <c r="Q42" i="11" s="1"/>
  <c r="S39" i="11" a="1"/>
  <c r="S39" i="11" s="1"/>
  <c r="S42" i="11" s="1"/>
  <c r="AZ93" i="7"/>
  <c r="AZ104" i="7"/>
  <c r="BB94" i="7"/>
  <c r="BA97" i="7"/>
  <c r="BA93" i="7"/>
  <c r="T39" i="11" a="1"/>
  <c r="T39" i="11" s="1"/>
  <c r="T36" i="11" s="1"/>
  <c r="AD39" i="11" a="1"/>
  <c r="AD39" i="11" s="1"/>
  <c r="AD42" i="11" s="1"/>
  <c r="BA104" i="7"/>
  <c r="AZ96" i="7"/>
  <c r="AZ119" i="7"/>
  <c r="BB100" i="7"/>
  <c r="AZ107" i="7"/>
  <c r="BB107" i="7"/>
  <c r="BB93" i="7"/>
  <c r="BB119" i="7"/>
  <c r="P39" i="11" a="1"/>
  <c r="P39" i="11" s="1"/>
  <c r="P33" i="11" s="1"/>
  <c r="BA119" i="7"/>
  <c r="BA100" i="7"/>
  <c r="AZ100" i="7"/>
  <c r="AZ102" i="7"/>
  <c r="AZ101" i="7"/>
  <c r="BB108" i="7"/>
  <c r="AA39" i="11" a="1"/>
  <c r="AA39" i="11" s="1"/>
  <c r="AA42" i="11" s="1"/>
  <c r="M39" i="11" a="1"/>
  <c r="M39" i="11" s="1"/>
  <c r="M36" i="11" s="1"/>
  <c r="R39" i="11" a="1"/>
  <c r="R39" i="11" s="1"/>
  <c r="R32" i="11" s="1"/>
  <c r="AE39" i="11" a="1"/>
  <c r="AE39" i="11" s="1"/>
  <c r="AE42" i="11" s="1"/>
  <c r="BB101" i="7"/>
  <c r="BA103" i="7"/>
  <c r="BA94" i="7"/>
  <c r="BA121" i="7"/>
  <c r="BA101" i="7"/>
  <c r="Y39" i="11" a="1"/>
  <c r="Y39" i="11" s="1"/>
  <c r="Y32" i="11" s="1"/>
  <c r="AF39" i="11" a="1"/>
  <c r="AF39" i="11" s="1"/>
  <c r="X39" i="11" a="1"/>
  <c r="X39" i="11" s="1"/>
  <c r="X34" i="11" s="1"/>
  <c r="N39" i="11" a="1"/>
  <c r="N39" i="11" s="1"/>
  <c r="N4" i="6" l="1"/>
  <c r="M12" i="6"/>
  <c r="Z42" i="11"/>
  <c r="AC34" i="11"/>
  <c r="AF42" i="11"/>
  <c r="AZ52" i="7"/>
  <c r="AC33" i="11"/>
  <c r="AC32" i="11"/>
  <c r="V50" i="4" a="1"/>
  <c r="V50" i="4" s="1"/>
  <c r="V52" i="4" s="1"/>
  <c r="H28" i="32" s="1"/>
  <c r="L5" i="6" s="1"/>
  <c r="W50" i="4" a="1"/>
  <c r="W50" i="4" s="1"/>
  <c r="W52" i="4" s="1"/>
  <c r="M5" i="6" s="1"/>
  <c r="X50" i="4" a="1"/>
  <c r="X50" i="4" s="1"/>
  <c r="X52" i="4" s="1"/>
  <c r="N5" i="6" s="1"/>
  <c r="N12" i="6"/>
  <c r="M10" i="6"/>
  <c r="N10" i="6"/>
  <c r="N13" i="6"/>
  <c r="M13" i="6"/>
  <c r="E52" i="11"/>
  <c r="B51" i="11"/>
  <c r="F34" i="11"/>
  <c r="U34" i="11"/>
  <c r="F35" i="11"/>
  <c r="F36" i="11"/>
  <c r="F42" i="11"/>
  <c r="F33" i="11"/>
  <c r="T35" i="11"/>
  <c r="S36" i="11"/>
  <c r="M8" i="6"/>
  <c r="N8" i="6"/>
  <c r="H34" i="32"/>
  <c r="L11" i="6" s="1"/>
  <c r="H33" i="32"/>
  <c r="L10" i="6" s="1"/>
  <c r="H32" i="32"/>
  <c r="L9" i="6" s="1"/>
  <c r="W42" i="11"/>
  <c r="O42" i="11"/>
  <c r="V33" i="11"/>
  <c r="U36" i="11"/>
  <c r="W35" i="11"/>
  <c r="O34" i="11"/>
  <c r="AB33" i="11"/>
  <c r="U42" i="11"/>
  <c r="G32" i="11"/>
  <c r="U35" i="11"/>
  <c r="B45" i="11"/>
  <c r="Q33" i="11"/>
  <c r="Q36" i="11"/>
  <c r="AA34" i="11"/>
  <c r="J35" i="11"/>
  <c r="I33" i="11"/>
  <c r="I32" i="11"/>
  <c r="J36" i="11"/>
  <c r="K32" i="11"/>
  <c r="H33" i="11"/>
  <c r="C8" i="2"/>
  <c r="P32" i="11"/>
  <c r="Z33" i="11"/>
  <c r="I34" i="11"/>
  <c r="I42" i="11"/>
  <c r="V36" i="11"/>
  <c r="T34" i="11"/>
  <c r="T42" i="11"/>
  <c r="L32" i="11"/>
  <c r="Q35" i="11"/>
  <c r="K34" i="11"/>
  <c r="K36" i="11"/>
  <c r="E35" i="11"/>
  <c r="H32" i="11"/>
  <c r="H36" i="11"/>
  <c r="M32" i="11"/>
  <c r="E8" i="2"/>
  <c r="Z34" i="11"/>
  <c r="T32" i="11"/>
  <c r="Q32" i="11"/>
  <c r="K35" i="11"/>
  <c r="K42" i="11"/>
  <c r="H34" i="11"/>
  <c r="H42" i="11"/>
  <c r="M34" i="11"/>
  <c r="AB34" i="11"/>
  <c r="I35" i="11"/>
  <c r="T33" i="11"/>
  <c r="Q34" i="11"/>
  <c r="S34" i="11"/>
  <c r="E36" i="11"/>
  <c r="P34" i="11"/>
  <c r="P42" i="11"/>
  <c r="J33" i="11"/>
  <c r="O35" i="11"/>
  <c r="O36" i="11"/>
  <c r="P35" i="11"/>
  <c r="P36" i="11"/>
  <c r="J32" i="11"/>
  <c r="O33" i="11"/>
  <c r="J34" i="11"/>
  <c r="AA33" i="11"/>
  <c r="AB32" i="11"/>
  <c r="V32" i="11"/>
  <c r="L35" i="11"/>
  <c r="L42" i="11"/>
  <c r="S33" i="11"/>
  <c r="E33" i="11"/>
  <c r="G34" i="11"/>
  <c r="G42" i="11"/>
  <c r="M35" i="11"/>
  <c r="AA32" i="11"/>
  <c r="V34" i="11"/>
  <c r="L34" i="11"/>
  <c r="L36" i="11"/>
  <c r="S32" i="11"/>
  <c r="E32" i="11"/>
  <c r="G33" i="11"/>
  <c r="G36" i="11"/>
  <c r="V35" i="11"/>
  <c r="S35" i="11"/>
  <c r="E34" i="11"/>
  <c r="M10" i="3"/>
  <c r="H27" i="6" s="1"/>
  <c r="C10" i="3"/>
  <c r="N10" i="3"/>
  <c r="W10" i="3"/>
  <c r="E10" i="3"/>
  <c r="L10" i="3"/>
  <c r="H25" i="6" s="1"/>
  <c r="G10" i="3"/>
  <c r="M42" i="11"/>
  <c r="X10" i="3"/>
  <c r="D13" i="14" s="1"/>
  <c r="F10" i="3"/>
  <c r="J10" i="3"/>
  <c r="I10" i="3"/>
  <c r="D10" i="3"/>
  <c r="K10" i="3"/>
  <c r="H31" i="32"/>
  <c r="L8" i="6" s="1"/>
  <c r="L8" i="2"/>
  <c r="K8" i="2"/>
  <c r="U33" i="11"/>
  <c r="W33" i="11"/>
  <c r="W36" i="11"/>
  <c r="R33" i="11"/>
  <c r="G8" i="2"/>
  <c r="F8" i="2"/>
  <c r="H35" i="32"/>
  <c r="L12" i="6" s="1"/>
  <c r="J8" i="2"/>
  <c r="W34" i="11"/>
  <c r="R35" i="11"/>
  <c r="I8" i="2"/>
  <c r="R42" i="11"/>
  <c r="H8" i="2"/>
  <c r="Y34" i="11"/>
  <c r="R36" i="11"/>
  <c r="R34" i="11"/>
  <c r="B39" i="11"/>
  <c r="M33" i="11"/>
  <c r="BA126" i="7"/>
  <c r="X42" i="11"/>
  <c r="AZ25" i="7"/>
  <c r="BB126" i="7"/>
  <c r="Y42" i="11"/>
  <c r="Y33" i="11"/>
  <c r="X33" i="11"/>
  <c r="X32" i="11"/>
  <c r="N36" i="11"/>
  <c r="N42" i="11"/>
  <c r="N32" i="11"/>
  <c r="N33" i="11"/>
  <c r="N34" i="11"/>
  <c r="N35" i="11"/>
  <c r="AZ126" i="7" l="1"/>
  <c r="BF93" i="7" s="1"/>
  <c r="H27" i="32"/>
  <c r="L4" i="6" s="1"/>
  <c r="S10" i="3"/>
  <c r="H24" i="6" s="1"/>
  <c r="H49" i="32"/>
  <c r="M11" i="13"/>
  <c r="D14" i="14"/>
  <c r="U10" i="3"/>
  <c r="B10" i="3"/>
  <c r="H47" i="32"/>
  <c r="H36" i="32"/>
  <c r="L13" i="6" s="1"/>
  <c r="B33" i="11"/>
  <c r="B32" i="11"/>
  <c r="B34" i="11"/>
  <c r="B36" i="11"/>
  <c r="B35" i="11"/>
  <c r="BF78" i="7" l="1"/>
  <c r="BF94" i="7"/>
  <c r="BF115" i="7"/>
  <c r="BF100" i="7"/>
  <c r="BF56" i="7"/>
  <c r="BF111" i="7"/>
  <c r="BF101" i="7"/>
  <c r="BF65" i="7"/>
  <c r="BF89" i="7"/>
  <c r="BF27" i="7"/>
  <c r="BF9" i="7"/>
  <c r="BF60" i="7"/>
  <c r="BF34" i="7"/>
  <c r="BF113" i="7"/>
  <c r="BF117" i="7"/>
  <c r="BF22" i="7"/>
  <c r="BF8" i="7"/>
  <c r="BF43" i="7"/>
  <c r="BF106" i="7"/>
  <c r="BF50" i="7"/>
  <c r="BF76" i="7"/>
  <c r="BF48" i="7"/>
  <c r="BF54" i="7"/>
  <c r="BF87" i="7"/>
  <c r="BF16" i="7"/>
  <c r="BF104" i="7"/>
  <c r="BF13" i="7"/>
  <c r="BF18" i="7"/>
  <c r="BF38" i="7"/>
  <c r="BF64" i="7"/>
  <c r="BF126" i="7"/>
  <c r="BF97" i="7"/>
  <c r="BF24" i="7"/>
  <c r="BF72" i="7"/>
  <c r="BF114" i="7"/>
  <c r="BF63" i="7"/>
  <c r="BF123" i="7"/>
  <c r="BF25" i="7"/>
  <c r="BF79" i="7"/>
  <c r="BF41" i="7"/>
  <c r="BF121" i="7"/>
  <c r="BF69" i="7"/>
  <c r="BF45" i="7"/>
  <c r="BF12" i="7"/>
  <c r="BF120" i="7"/>
  <c r="BF15" i="7"/>
  <c r="BF55" i="7"/>
  <c r="BF36" i="7"/>
  <c r="BF99" i="7"/>
  <c r="BF102" i="7"/>
  <c r="BF52" i="7"/>
  <c r="BF29" i="7"/>
  <c r="BF81" i="7"/>
  <c r="BF37" i="7"/>
  <c r="BF96" i="7"/>
  <c r="BF95" i="7"/>
  <c r="BF110" i="7"/>
  <c r="BF42" i="7"/>
  <c r="BF19" i="7"/>
  <c r="BF53" i="7"/>
  <c r="BF75" i="7"/>
  <c r="BF17" i="7"/>
  <c r="BF112" i="7"/>
  <c r="BF39" i="7"/>
  <c r="BF49" i="7"/>
  <c r="BF33" i="7"/>
  <c r="BF103" i="7"/>
  <c r="BF70" i="7"/>
  <c r="BF58" i="7"/>
  <c r="BF61" i="7"/>
  <c r="BF85" i="7"/>
  <c r="BF46" i="7"/>
  <c r="BF68" i="7"/>
  <c r="BF84" i="7"/>
  <c r="BF67" i="7"/>
  <c r="BF90" i="7"/>
  <c r="BF77" i="7"/>
  <c r="BF66" i="7"/>
  <c r="BF88" i="7"/>
  <c r="BF10" i="7"/>
  <c r="BF82" i="7"/>
  <c r="BF92" i="7"/>
  <c r="BF107" i="7"/>
  <c r="BF57" i="7"/>
  <c r="BF40" i="7"/>
  <c r="BF86" i="7"/>
  <c r="BF32" i="7"/>
  <c r="BF30" i="7"/>
  <c r="BF51" i="7"/>
  <c r="BF20" i="7"/>
  <c r="BF62" i="7"/>
  <c r="BF73" i="7"/>
  <c r="BF74" i="7"/>
  <c r="BF118" i="7"/>
  <c r="BF14" i="7"/>
  <c r="BF59" i="7"/>
  <c r="BF124" i="7"/>
  <c r="BF31" i="7"/>
  <c r="BF119" i="7"/>
  <c r="BF47" i="7"/>
  <c r="BF35" i="7"/>
  <c r="BF83" i="7"/>
  <c r="BF71" i="7"/>
  <c r="BF28" i="7"/>
  <c r="BF80" i="7"/>
  <c r="BF11" i="7"/>
  <c r="BF26" i="7"/>
  <c r="BF44" i="7"/>
  <c r="BF21" i="7"/>
  <c r="BF108" i="7"/>
  <c r="D22" i="14"/>
  <c r="M12" i="13"/>
  <c r="M13" i="13" s="1"/>
  <c r="E22" i="14" l="1"/>
  <c r="D32" i="13"/>
  <c r="E13" i="14"/>
  <c r="E14" i="14"/>
  <c r="B8" i="2"/>
  <c r="E3" i="33" l="1" a="1"/>
  <c r="E3" i="33" s="1"/>
  <c r="C17" i="2" s="1" a="1"/>
  <c r="C17" i="2" s="1"/>
  <c r="C9" i="2" s="1"/>
  <c r="M4" i="6" s="1"/>
  <c r="BX5" i="33" l="1" a="1"/>
  <c r="BX5" i="33" s="1"/>
  <c r="BC100" i="7" s="1"/>
  <c r="BP5" i="33" a="1"/>
  <c r="BP5" i="33" s="1"/>
  <c r="Q57" i="11" s="1" a="1"/>
  <c r="Q57" i="11" s="1"/>
  <c r="Q58" i="11" s="1"/>
  <c r="BV5" i="33" a="1"/>
  <c r="BV5" i="33" s="1"/>
  <c r="V57" i="11" s="1" a="1"/>
  <c r="V57" i="11" s="1"/>
  <c r="V58" i="11" s="1"/>
  <c r="BW5" i="33" a="1"/>
  <c r="BW5" i="33" s="1"/>
  <c r="BC101" i="7" s="1"/>
  <c r="AT5" i="33" a="1"/>
  <c r="AT5" i="33" s="1"/>
  <c r="K19" i="2" s="1" a="1"/>
  <c r="K19" i="2" s="1"/>
  <c r="K11" i="2" s="1"/>
  <c r="CN5" i="33" a="1"/>
  <c r="CN5" i="33" s="1"/>
  <c r="AL5" i="33" a="1"/>
  <c r="AL5" i="33" s="1"/>
  <c r="CJ5" i="33" a="1"/>
  <c r="CJ5" i="33" s="1"/>
  <c r="AN5" i="33" a="1"/>
  <c r="AN5" i="33" s="1"/>
  <c r="AY5" i="33" a="1"/>
  <c r="AY5" i="33" s="1"/>
  <c r="AA57" i="11" s="1" a="1"/>
  <c r="AA57" i="11" s="1"/>
  <c r="AA58" i="11" s="1"/>
  <c r="CK5" i="33" a="1"/>
  <c r="CK5" i="33" s="1"/>
  <c r="AM5" i="33" a="1"/>
  <c r="AM5" i="33" s="1"/>
  <c r="Y66" i="4" s="1" a="1"/>
  <c r="Y66" i="4" s="1"/>
  <c r="BL5" i="33" a="1"/>
  <c r="BL5" i="33" s="1"/>
  <c r="L57" i="11" s="1" a="1"/>
  <c r="L57" i="11" s="1"/>
  <c r="L58" i="11" s="1"/>
  <c r="X5" i="33" a="1"/>
  <c r="X5" i="33" s="1"/>
  <c r="Y42" i="4" s="1" a="1"/>
  <c r="Y42" i="4" s="1"/>
  <c r="AJ5" i="33" a="1"/>
  <c r="AJ5" i="33" s="1"/>
  <c r="BI5" i="33" a="1"/>
  <c r="BI5" i="33" s="1"/>
  <c r="CQ5" i="33" a="1"/>
  <c r="CQ5" i="33" s="1"/>
  <c r="BN5" i="33" a="1"/>
  <c r="BN5" i="33" s="1"/>
  <c r="O57" i="11" s="1" a="1"/>
  <c r="O57" i="11" s="1"/>
  <c r="O58" i="11" s="1"/>
  <c r="I5" i="33" a="1"/>
  <c r="I5" i="33" s="1"/>
  <c r="AE5" i="33" a="1"/>
  <c r="AE5" i="33" s="1"/>
  <c r="Y62" i="4" s="1" a="1"/>
  <c r="Y62" i="4" s="1"/>
  <c r="R5" i="33" a="1"/>
  <c r="R5" i="33" s="1"/>
  <c r="Y35" i="4" s="1" a="1"/>
  <c r="Y35" i="4" s="1"/>
  <c r="AK5" i="33" a="1"/>
  <c r="AK5" i="33" s="1"/>
  <c r="AZ5" i="33" a="1"/>
  <c r="AZ5" i="33" s="1"/>
  <c r="AB57" i="11" s="1" a="1"/>
  <c r="AB57" i="11" s="1"/>
  <c r="AB58" i="11" s="1"/>
  <c r="CS5" i="33" a="1"/>
  <c r="CS5" i="33" s="1"/>
  <c r="AP5" i="33" a="1"/>
  <c r="AP5" i="33" s="1"/>
  <c r="G19" i="2" s="1" a="1"/>
  <c r="G19" i="2" s="1"/>
  <c r="G11" i="2" s="1"/>
  <c r="CM5" i="33" a="1"/>
  <c r="CM5" i="33" s="1"/>
  <c r="BY5" i="33" a="1"/>
  <c r="BY5" i="33" s="1"/>
  <c r="AB5" i="33" a="1"/>
  <c r="AB5" i="33" s="1"/>
  <c r="CL5" i="33" a="1"/>
  <c r="CL5" i="33" s="1"/>
  <c r="U5" i="33" a="1"/>
  <c r="U5" i="33" s="1"/>
  <c r="Y41" i="4" s="1" a="1"/>
  <c r="Y41" i="4" s="1"/>
  <c r="AR5" i="33" a="1"/>
  <c r="AR5" i="33" s="1"/>
  <c r="I19" i="2" s="1" a="1"/>
  <c r="I19" i="2" s="1"/>
  <c r="I11" i="2" s="1"/>
  <c r="G5" i="33" a="1"/>
  <c r="G5" i="33" s="1"/>
  <c r="CT5" i="33" a="1"/>
  <c r="CT5" i="33" s="1"/>
  <c r="BD5" i="33" a="1"/>
  <c r="BD5" i="33" s="1"/>
  <c r="AF57" i="11" s="1" a="1"/>
  <c r="AF57" i="11" s="1"/>
  <c r="BC52" i="7" s="1"/>
  <c r="CY5" i="33" a="1"/>
  <c r="CY5" i="33" s="1"/>
  <c r="CZ5" i="33" a="1"/>
  <c r="CZ5" i="33" s="1"/>
  <c r="CH5" i="33" a="1"/>
  <c r="CH5" i="33" s="1"/>
  <c r="W5" i="33" a="1"/>
  <c r="W5" i="33" s="1"/>
  <c r="O5" i="33" a="1"/>
  <c r="O5" i="33" s="1"/>
  <c r="Y30" i="4" s="1" a="1"/>
  <c r="Y30" i="4" s="1"/>
  <c r="CX5" i="33" a="1"/>
  <c r="CX5" i="33" s="1"/>
  <c r="BU5" i="33" a="1"/>
  <c r="BU5" i="33" s="1"/>
  <c r="U57" i="11" s="1" a="1"/>
  <c r="U57" i="11" s="1"/>
  <c r="U58" i="11" s="1"/>
  <c r="K5" i="33" a="1"/>
  <c r="K5" i="33" s="1"/>
  <c r="CU5" i="33" a="1"/>
  <c r="CU5" i="33" s="1"/>
  <c r="AX5" i="33" a="1"/>
  <c r="AX5" i="33" s="1"/>
  <c r="Z57" i="11" s="1" a="1"/>
  <c r="Z57" i="11" s="1"/>
  <c r="Z58" i="11" s="1"/>
  <c r="CD5" i="33" a="1"/>
  <c r="CD5" i="33" s="1"/>
  <c r="BC118" i="7" s="1"/>
  <c r="BZ5" i="33" a="1"/>
  <c r="BZ5" i="33" s="1"/>
  <c r="BC102" i="7" s="1"/>
  <c r="E5" i="33" a="1"/>
  <c r="E5" i="33" s="1"/>
  <c r="C19" i="2" s="1" a="1"/>
  <c r="C19" i="2" s="1"/>
  <c r="C11" i="2" s="1"/>
  <c r="BF5" i="33" a="1"/>
  <c r="BF5" i="33" s="1"/>
  <c r="F57" i="11" s="1" a="1"/>
  <c r="F57" i="11" s="1"/>
  <c r="F58" i="11" s="1"/>
  <c r="BT5" i="33" a="1"/>
  <c r="BT5" i="33" s="1"/>
  <c r="Q5" i="33" a="1"/>
  <c r="Q5" i="33" s="1"/>
  <c r="Y38" i="4" s="1" a="1"/>
  <c r="Y38" i="4" s="1"/>
  <c r="BC5" i="33" a="1"/>
  <c r="BC5" i="33" s="1"/>
  <c r="AE57" i="11" s="1" a="1"/>
  <c r="AE57" i="11" s="1"/>
  <c r="AE58" i="11" s="1"/>
  <c r="P5" i="33" a="1"/>
  <c r="P5" i="33" s="1"/>
  <c r="Y31" i="4" s="1" a="1"/>
  <c r="Y31" i="4" s="1"/>
  <c r="BK5" i="33" a="1"/>
  <c r="BK5" i="33" s="1"/>
  <c r="K57" i="11" s="1" a="1"/>
  <c r="K57" i="11" s="1"/>
  <c r="K58" i="11" s="1"/>
  <c r="CC5" i="33" a="1"/>
  <c r="CC5" i="33" s="1"/>
  <c r="W57" i="11" s="1" a="1"/>
  <c r="W57" i="11" s="1"/>
  <c r="W58" i="11" s="1"/>
  <c r="AF5" i="33" a="1"/>
  <c r="AF5" i="33" s="1"/>
  <c r="Y63" i="4" s="1" a="1"/>
  <c r="Y63" i="4" s="1"/>
  <c r="O11" i="6" s="1"/>
  <c r="BJ5" i="33" a="1"/>
  <c r="BJ5" i="33" s="1"/>
  <c r="J57" i="11" s="1" a="1"/>
  <c r="J57" i="11" s="1"/>
  <c r="J58" i="11" s="1"/>
  <c r="H5" i="33" a="1"/>
  <c r="H5" i="33" s="1"/>
  <c r="Y23" i="4" s="1" a="1"/>
  <c r="Y23" i="4" s="1"/>
  <c r="AC5" i="33" a="1"/>
  <c r="AC5" i="33" s="1"/>
  <c r="BC128" i="7" s="1"/>
  <c r="T5" i="33" a="1"/>
  <c r="T5" i="33" s="1"/>
  <c r="Y39" i="4" s="1" a="1"/>
  <c r="Y39" i="4" s="1"/>
  <c r="CR5" i="33" a="1"/>
  <c r="CR5" i="33" s="1"/>
  <c r="AS5" i="33" a="1"/>
  <c r="AS5" i="33" s="1"/>
  <c r="J19" i="2" s="1" a="1"/>
  <c r="J19" i="2" s="1"/>
  <c r="J11" i="2" s="1"/>
  <c r="AW5" i="33" a="1"/>
  <c r="AW5" i="33" s="1"/>
  <c r="Y57" i="11" s="1" a="1"/>
  <c r="Y57" i="11" s="1"/>
  <c r="Y58" i="11" s="1"/>
  <c r="F5" i="33" a="1"/>
  <c r="F5" i="33" s="1"/>
  <c r="D19" i="2" s="1" a="1"/>
  <c r="D19" i="2" s="1"/>
  <c r="D11" i="2" s="1"/>
  <c r="BA5" i="33" a="1"/>
  <c r="BA5" i="33" s="1"/>
  <c r="AC57" i="11" s="1" a="1"/>
  <c r="AC57" i="11" s="1"/>
  <c r="AC58" i="11" s="1"/>
  <c r="AO5" i="33" a="1"/>
  <c r="AO5" i="33" s="1"/>
  <c r="F19" i="2" s="1" a="1"/>
  <c r="F19" i="2" s="1"/>
  <c r="F11" i="2" s="1"/>
  <c r="BB5" i="33" a="1"/>
  <c r="BB5" i="33" s="1"/>
  <c r="AD57" i="11" s="1" a="1"/>
  <c r="AD57" i="11" s="1"/>
  <c r="AD58" i="11" s="1"/>
  <c r="AI5" i="33" a="1"/>
  <c r="AI5" i="33" s="1"/>
  <c r="BO5" i="33" a="1"/>
  <c r="BO5" i="33" s="1"/>
  <c r="P57" i="11" s="1" a="1"/>
  <c r="P57" i="11" s="1"/>
  <c r="P58" i="11" s="1"/>
  <c r="AA5" i="33" a="1"/>
  <c r="AA5" i="33" s="1"/>
  <c r="AV5" i="33" a="1"/>
  <c r="AV5" i="33" s="1"/>
  <c r="X57" i="11" s="1" a="1"/>
  <c r="X57" i="11" s="1"/>
  <c r="X58" i="11" s="1"/>
  <c r="AH5" i="33" a="1"/>
  <c r="AH5" i="33" s="1"/>
  <c r="Y64" i="4" s="1" a="1"/>
  <c r="Y64" i="4" s="1"/>
  <c r="AD5" i="33" a="1"/>
  <c r="AD5" i="33" s="1"/>
  <c r="Y59" i="4" s="1" a="1"/>
  <c r="Y59" i="4" s="1"/>
  <c r="O9" i="6" s="1"/>
  <c r="CO5" i="33" a="1"/>
  <c r="CO5" i="33" s="1"/>
  <c r="BQ5" i="33" a="1"/>
  <c r="BQ5" i="33" s="1"/>
  <c r="N57" i="11" s="1" a="1"/>
  <c r="N57" i="11" s="1"/>
  <c r="N58" i="11" s="1"/>
  <c r="CI5" i="33" a="1"/>
  <c r="CI5" i="33" s="1"/>
  <c r="V5" i="33" a="1"/>
  <c r="V5" i="33" s="1"/>
  <c r="Y40" i="4" s="1" a="1"/>
  <c r="Y40" i="4" s="1"/>
  <c r="J5" i="33" a="1"/>
  <c r="J5" i="33" s="1"/>
  <c r="AG5" i="33" a="1"/>
  <c r="AG5" i="33" s="1"/>
  <c r="Y60" i="4" s="1" a="1"/>
  <c r="Y60" i="4" s="1"/>
  <c r="BH5" i="33" a="1"/>
  <c r="BH5" i="33" s="1"/>
  <c r="H57" i="11" s="1" a="1"/>
  <c r="H57" i="11" s="1"/>
  <c r="H58" i="11" s="1"/>
  <c r="CV5" i="33" a="1"/>
  <c r="CV5" i="33" s="1"/>
  <c r="Z5" i="33" a="1"/>
  <c r="Z5" i="33" s="1"/>
  <c r="CW5" i="33" a="1"/>
  <c r="CW5" i="33" s="1"/>
  <c r="AU5" i="33" a="1"/>
  <c r="AU5" i="33" s="1"/>
  <c r="L19" i="2" s="1" a="1"/>
  <c r="L19" i="2" s="1"/>
  <c r="L11" i="2" s="1"/>
  <c r="S5" i="33" a="1"/>
  <c r="S5" i="33" s="1"/>
  <c r="Y34" i="4" s="1" a="1"/>
  <c r="Y34" i="4" s="1"/>
  <c r="DB5" i="33" a="1"/>
  <c r="DB5" i="33" s="1"/>
  <c r="CA5" i="33" a="1"/>
  <c r="CA5" i="33" s="1"/>
  <c r="BC103" i="7" s="1"/>
  <c r="BE5" i="33" a="1"/>
  <c r="BE5" i="33" s="1"/>
  <c r="E57" i="11" s="1" a="1"/>
  <c r="E57" i="11" s="1"/>
  <c r="BR5" i="33" a="1"/>
  <c r="BR5" i="33" s="1"/>
  <c r="CF5" i="33" a="1"/>
  <c r="CF5" i="33" s="1"/>
  <c r="BC120" i="7" s="1"/>
  <c r="N5" i="33" a="1"/>
  <c r="N5" i="33" s="1"/>
  <c r="L5" i="33" a="1"/>
  <c r="L5" i="33" s="1"/>
  <c r="BM5" i="33" a="1"/>
  <c r="BM5" i="33" s="1"/>
  <c r="BG5" i="33" a="1"/>
  <c r="BG5" i="33" s="1"/>
  <c r="G57" i="11" s="1" a="1"/>
  <c r="G57" i="11" s="1"/>
  <c r="G58" i="11" s="1"/>
  <c r="CE5" i="33" a="1"/>
  <c r="CE5" i="33" s="1"/>
  <c r="BC119" i="7" s="1"/>
  <c r="CP5" i="33" a="1"/>
  <c r="CP5" i="33" s="1"/>
  <c r="CG5" i="33" a="1"/>
  <c r="CG5" i="33" s="1"/>
  <c r="BC121" i="7" s="1"/>
  <c r="Y5" i="33" a="1"/>
  <c r="Y5" i="33" s="1"/>
  <c r="BS5" i="33" a="1"/>
  <c r="BS5" i="33" s="1"/>
  <c r="CB5" i="33" a="1"/>
  <c r="CB5" i="33" s="1"/>
  <c r="BC104" i="7" s="1"/>
  <c r="DA5" i="33" a="1"/>
  <c r="DA5" i="33" s="1"/>
  <c r="M5" i="33" a="1"/>
  <c r="M5" i="33" s="1"/>
  <c r="AQ5" i="33" a="1"/>
  <c r="AQ5" i="33" s="1"/>
  <c r="H19" i="2" s="1" a="1"/>
  <c r="H19" i="2" s="1"/>
  <c r="H11" i="2" s="1"/>
  <c r="E19" i="2" l="1" a="1"/>
  <c r="E19" i="2" s="1"/>
  <c r="E11" i="2" s="1"/>
  <c r="O4" i="6" s="1"/>
  <c r="Y11" i="4" a="1"/>
  <c r="Y11" i="4" s="1"/>
  <c r="Y29" i="4" a="1"/>
  <c r="Y29" i="4" s="1"/>
  <c r="O13" i="6"/>
  <c r="BC96" i="7"/>
  <c r="I57" i="11" a="1"/>
  <c r="I57" i="11" s="1"/>
  <c r="I58" i="11" s="1"/>
  <c r="Y76" i="4" a="1"/>
  <c r="Y76" i="4" s="1"/>
  <c r="O12" i="6" s="1"/>
  <c r="E58" i="11"/>
  <c r="BC107" i="7"/>
  <c r="M57" i="11" a="1"/>
  <c r="M57" i="11" s="1"/>
  <c r="M58" i="11" s="1"/>
  <c r="BC108" i="7"/>
  <c r="S57" i="11" a="1"/>
  <c r="S57" i="11" s="1"/>
  <c r="S58" i="11" s="1"/>
  <c r="Y45" i="4" a="1"/>
  <c r="Y45" i="4" s="1"/>
  <c r="Y46" i="4" a="1"/>
  <c r="Y46" i="4" s="1"/>
  <c r="BC129" i="7"/>
  <c r="Y102" i="4" a="1"/>
  <c r="Y102" i="4" s="1"/>
  <c r="O10" i="6"/>
  <c r="BC93" i="7"/>
  <c r="R57" i="11" a="1"/>
  <c r="R57" i="11" s="1"/>
  <c r="R58" i="11" s="1"/>
  <c r="Y48" i="4" a="1"/>
  <c r="Y48" i="4" s="1"/>
  <c r="Y47" i="4" a="1"/>
  <c r="Y47" i="4" s="1"/>
  <c r="BC97" i="7"/>
  <c r="T57" i="11" a="1"/>
  <c r="T57" i="11" s="1"/>
  <c r="T58" i="11" s="1"/>
  <c r="Y84" i="4" a="1"/>
  <c r="Y84" i="4" s="1"/>
  <c r="Y96" i="4" a="1"/>
  <c r="Y96" i="4" s="1"/>
  <c r="Y81" i="4" a="1"/>
  <c r="Y81" i="4" s="1"/>
  <c r="Y71" i="4" a="1"/>
  <c r="Y71" i="4" s="1"/>
  <c r="Y89" i="4" a="1"/>
  <c r="Y89" i="4" s="1"/>
  <c r="Y91" i="4" a="1"/>
  <c r="Y91" i="4" s="1"/>
  <c r="Y58" i="4" a="1"/>
  <c r="Y58" i="4" s="1"/>
  <c r="Y90" i="4" a="1"/>
  <c r="Y90" i="4" s="1"/>
  <c r="Y88" i="4" a="1"/>
  <c r="Y88" i="4" s="1"/>
  <c r="Y70" i="4" a="1"/>
  <c r="Y70" i="4" s="1"/>
  <c r="Y97" i="4" a="1"/>
  <c r="Y97" i="4" s="1"/>
  <c r="Y101" i="4" a="1"/>
  <c r="Y101" i="4" s="1"/>
  <c r="Y56" i="4" a="1"/>
  <c r="Y56" i="4" s="1"/>
  <c r="Y67" i="4" a="1"/>
  <c r="Y67" i="4" s="1"/>
  <c r="Y87" i="4" a="1"/>
  <c r="Y87" i="4" s="1"/>
  <c r="Y57" i="4" a="1"/>
  <c r="Y57" i="4" s="1"/>
  <c r="Y94" i="4" a="1"/>
  <c r="Y94" i="4" s="1"/>
  <c r="Y98" i="4" a="1"/>
  <c r="Y98" i="4" s="1"/>
  <c r="Y100" i="4" a="1"/>
  <c r="Y100" i="4" s="1"/>
  <c r="Y93" i="4" a="1"/>
  <c r="Y93" i="4" s="1"/>
  <c r="Y86" i="4" a="1"/>
  <c r="Y86" i="4" s="1"/>
  <c r="Y75" i="4" a="1"/>
  <c r="Y75" i="4" s="1"/>
  <c r="Y95" i="4" a="1"/>
  <c r="Y95" i="4" s="1"/>
  <c r="Y99" i="4" a="1"/>
  <c r="Y99" i="4" s="1"/>
  <c r="Y73" i="4" a="1"/>
  <c r="Y73" i="4" s="1"/>
  <c r="Y72" i="4" a="1"/>
  <c r="Y72" i="4" s="1"/>
  <c r="Y92" i="4" a="1"/>
  <c r="Y92" i="4" s="1"/>
  <c r="Y79" i="4" a="1"/>
  <c r="Y79" i="4" s="1"/>
  <c r="Y69" i="4" a="1"/>
  <c r="Y69" i="4" s="1"/>
  <c r="Y74" i="4" a="1"/>
  <c r="Y74" i="4" s="1"/>
  <c r="Y82" i="4" a="1"/>
  <c r="Y82" i="4" s="1"/>
  <c r="Y68" i="4" a="1"/>
  <c r="Y68" i="4" s="1"/>
  <c r="Y77" i="4" a="1"/>
  <c r="Y77" i="4" s="1"/>
  <c r="Y78" i="4" a="1"/>
  <c r="Y78" i="4" s="1"/>
  <c r="Y83" i="4" a="1"/>
  <c r="Y83" i="4" s="1"/>
  <c r="Y85" i="4" a="1"/>
  <c r="Y85" i="4" s="1"/>
  <c r="Y80" i="4" a="1"/>
  <c r="Y80" i="4" s="1"/>
  <c r="BC94" i="7"/>
  <c r="BC95" i="7"/>
  <c r="O8" i="6" l="1"/>
  <c r="B57" i="11"/>
  <c r="Y50" i="4" a="1"/>
  <c r="Y50" i="4" s="1"/>
  <c r="Y52" i="4" s="1"/>
  <c r="O5" i="6" s="1"/>
  <c r="BC126" i="7"/>
  <c r="AX146" i="7" s="1" a="1"/>
  <c r="AX148" i="7" s="1"/>
  <c r="M10" i="2" l="1"/>
  <c r="B10" i="2" s="1"/>
  <c r="N6" i="6"/>
  <c r="AX147" i="7"/>
  <c r="AX146" i="7"/>
  <c r="H29" i="32" s="1"/>
  <c r="H37" i="32" s="1"/>
  <c r="H8" i="32" s="1"/>
  <c r="AX149" i="7"/>
  <c r="N14" i="6" l="1"/>
  <c r="M11" i="2"/>
  <c r="O6" i="6"/>
  <c r="O14" i="6" s="1"/>
  <c r="M9" i="2"/>
  <c r="B9" i="2" s="1"/>
  <c r="M6" i="6"/>
  <c r="M14" i="6" s="1"/>
  <c r="L6" i="6"/>
  <c r="L14" i="6" s="1"/>
  <c r="B11" i="2"/>
  <c r="I10" i="6" l="1"/>
  <c r="R4" i="6"/>
  <c r="R7" i="6"/>
  <c r="R13" i="6"/>
  <c r="O38" i="6"/>
  <c r="R11" i="6"/>
  <c r="R10" i="6"/>
  <c r="R5" i="6"/>
  <c r="R9" i="6"/>
  <c r="R12" i="6"/>
  <c r="R8" i="6"/>
  <c r="R6" i="6"/>
  <c r="P6" i="6"/>
  <c r="Q10" i="6"/>
  <c r="Q13" i="6"/>
  <c r="Q11" i="6"/>
  <c r="N38" i="6"/>
  <c r="Q7" i="6"/>
  <c r="Q9" i="6"/>
  <c r="Q5" i="6"/>
  <c r="Q8" i="6"/>
  <c r="Q12" i="6"/>
  <c r="Q4" i="6"/>
  <c r="P7" i="6"/>
  <c r="P9" i="6"/>
  <c r="P12" i="6"/>
  <c r="P4" i="6"/>
  <c r="P11" i="6"/>
  <c r="P8" i="6"/>
  <c r="M38" i="6"/>
  <c r="P5" i="6"/>
  <c r="P10" i="6"/>
  <c r="P13" i="6"/>
  <c r="Q6" i="6"/>
  <c r="I9" i="6"/>
  <c r="I5" i="6"/>
  <c r="I6" i="6"/>
  <c r="I8" i="6"/>
  <c r="I13" i="6"/>
  <c r="L38" i="6"/>
  <c r="I11" i="6"/>
  <c r="I4" i="6"/>
  <c r="I12" i="6"/>
  <c r="I7" i="6"/>
  <c r="M33" i="6" l="1"/>
  <c r="M39" i="6" s="1"/>
  <c r="M34" i="6"/>
  <c r="M40" i="6" s="1"/>
  <c r="M36" i="6" s="1"/>
  <c r="M42" i="6" s="1"/>
  <c r="O33" i="6"/>
  <c r="O39" i="6" s="1"/>
  <c r="O34" i="6"/>
  <c r="O40" i="6" s="1"/>
  <c r="L33" i="6"/>
  <c r="L39" i="6" s="1"/>
  <c r="L34" i="6"/>
  <c r="L40" i="6" s="1"/>
  <c r="N33" i="6"/>
  <c r="N39" i="6" s="1"/>
  <c r="N34" i="6"/>
  <c r="N40" i="6" s="1"/>
  <c r="N36" i="6" s="1"/>
  <c r="N42" i="6" s="1"/>
  <c r="R14" i="6"/>
  <c r="P14" i="6"/>
  <c r="Q14" i="6"/>
  <c r="I14" i="6"/>
  <c r="L36" i="6" l="1"/>
  <c r="L42" i="6" s="1"/>
  <c r="O36" i="6"/>
  <c r="O42" i="6" s="1"/>
  <c r="M35" i="6"/>
  <c r="M41" i="6" s="1"/>
  <c r="M43" i="6" s="1"/>
  <c r="L35" i="6"/>
  <c r="V46" i="16" s="1"/>
  <c r="V8" i="16" s="1"/>
  <c r="H25" i="14" s="1"/>
  <c r="H26" i="14" s="1"/>
  <c r="E26" i="14" s="1"/>
  <c r="O35" i="6"/>
  <c r="O41" i="6" s="1"/>
  <c r="N35" i="6"/>
  <c r="V125" i="16" s="1"/>
  <c r="V10" i="16" s="1"/>
  <c r="J25" i="14" s="1"/>
  <c r="J26" i="14" s="1"/>
  <c r="H29" i="6"/>
  <c r="O29" i="6" s="1"/>
  <c r="H46" i="32"/>
  <c r="H51" i="32" s="1"/>
  <c r="H7" i="32" s="1"/>
  <c r="O43" i="6" l="1"/>
  <c r="L41" i="6"/>
  <c r="L43" i="6" s="1"/>
  <c r="N41" i="6"/>
  <c r="N43" i="6" s="1"/>
  <c r="V167" i="16"/>
  <c r="V11" i="16" s="1"/>
  <c r="K25" i="14" s="1"/>
  <c r="K26" i="14" s="1"/>
  <c r="V91" i="16"/>
  <c r="V9" i="16" s="1"/>
  <c r="I25" i="14" s="1"/>
  <c r="I26" i="14" s="1"/>
  <c r="E25" i="14"/>
  <c r="I24" i="6"/>
  <c r="I43" i="6"/>
  <c r="I22" i="6"/>
  <c r="H11" i="32"/>
  <c r="H9" i="32"/>
  <c r="I21" i="6"/>
  <c r="I18" i="6"/>
  <c r="I28" i="6"/>
  <c r="I23" i="6"/>
  <c r="I20" i="6"/>
  <c r="I27" i="6"/>
  <c r="I26" i="6"/>
  <c r="I29" i="6"/>
  <c r="I19" i="6"/>
  <c r="I25" i="6"/>
  <c r="N19" i="6" l="1"/>
  <c r="O19" i="6"/>
  <c r="M19" i="6"/>
  <c r="L19" i="6"/>
  <c r="N21" i="6"/>
  <c r="L21" i="6"/>
  <c r="M21" i="6"/>
  <c r="O21" i="6"/>
  <c r="M18" i="6"/>
  <c r="L18" i="6"/>
  <c r="O18" i="6"/>
  <c r="N18" i="6"/>
  <c r="L20" i="6"/>
  <c r="U46" i="16" s="1"/>
  <c r="U8" i="16" s="1"/>
  <c r="O20" i="6"/>
  <c r="U167" i="16" s="1"/>
  <c r="U11" i="16" s="1"/>
  <c r="M20" i="6"/>
  <c r="U91" i="16" s="1"/>
  <c r="U9" i="16" s="1"/>
  <c r="N20" i="6"/>
  <c r="U125" i="16" s="1"/>
  <c r="U10" i="16" s="1"/>
  <c r="H13" i="32"/>
  <c r="J6" i="14" l="1"/>
  <c r="J9" i="14" s="1"/>
  <c r="B10" i="16"/>
  <c r="I6" i="14"/>
  <c r="I9" i="14" s="1"/>
  <c r="B9" i="16"/>
  <c r="B11" i="16"/>
  <c r="K6" i="14"/>
  <c r="K9" i="14" s="1"/>
  <c r="H6" i="14"/>
  <c r="B8" i="16"/>
  <c r="H9" i="14" l="1"/>
  <c r="E6" i="14" s="1"/>
  <c r="L8" i="13"/>
  <c r="L13" i="13" s="1"/>
  <c r="E9" i="14" l="1"/>
  <c r="E5" i="14"/>
  <c r="E8" i="14"/>
  <c r="E4" i="14"/>
  <c r="C32" i="13"/>
  <c r="E32" i="13" s="1"/>
  <c r="G32" i="13" s="1"/>
  <c r="G33" i="13" s="1"/>
  <c r="B33" i="13" s="1"/>
  <c r="G22" i="14" s="1"/>
  <c r="K22" i="14"/>
  <c r="E7" i="14"/>
  <c r="D104" i="1" l="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D4" i="1"/>
  <c r="D3" i="1"/>
  <c r="D2" i="1"/>
  <c r="E56" i="6"/>
  <c r="E55" i="6"/>
  <c r="E54" i="6"/>
  <c r="E53" i="6"/>
  <c r="E52" i="6"/>
  <c r="E51" i="6"/>
  <c r="E50" i="6"/>
  <c r="E49" i="6"/>
  <c r="E48" i="6"/>
  <c r="E47" i="6"/>
  <c r="E46" i="6"/>
  <c r="E45" i="6"/>
  <c r="E44" i="6"/>
  <c r="F44" i="6" s="1"/>
  <c r="E43" i="6"/>
  <c r="F43" i="6" s="1"/>
  <c r="E42" i="6"/>
  <c r="E41" i="6"/>
  <c r="E40" i="6"/>
  <c r="F40" i="6" s="1"/>
  <c r="E39" i="6"/>
  <c r="F39" i="6" s="1"/>
  <c r="E38" i="6"/>
  <c r="F38" i="6" s="1"/>
  <c r="E37" i="6"/>
  <c r="E36" i="6"/>
  <c r="F36" i="6" s="1"/>
  <c r="K36" i="6" s="1"/>
  <c r="E35" i="6"/>
  <c r="E34" i="6"/>
  <c r="E33" i="6"/>
  <c r="F33" i="6" s="1"/>
  <c r="K33" i="6" s="1"/>
  <c r="E32" i="6"/>
  <c r="E31" i="6"/>
  <c r="E30" i="6"/>
  <c r="E29" i="6"/>
  <c r="E28" i="6"/>
  <c r="E27" i="6"/>
  <c r="E26" i="6"/>
  <c r="E25" i="6"/>
  <c r="E24" i="6"/>
  <c r="E23" i="6"/>
  <c r="E22" i="6"/>
  <c r="E21" i="6"/>
  <c r="E20" i="6"/>
  <c r="E19" i="6"/>
  <c r="E18" i="6"/>
  <c r="E17" i="6"/>
  <c r="E16" i="6"/>
  <c r="F16" i="6" s="1"/>
  <c r="E15" i="6"/>
  <c r="E14" i="6"/>
  <c r="E13" i="6"/>
  <c r="E12" i="6"/>
  <c r="E11" i="6"/>
  <c r="E10" i="6"/>
  <c r="F10" i="6" s="1"/>
  <c r="G33" i="32" s="1"/>
  <c r="E9" i="6"/>
  <c r="E8" i="6"/>
  <c r="E7" i="6"/>
  <c r="E6" i="6"/>
  <c r="E5" i="6"/>
  <c r="E4" i="6"/>
  <c r="E3" i="6"/>
  <c r="F51" i="32"/>
  <c r="F50" i="32"/>
  <c r="F49" i="32"/>
  <c r="F48" i="32"/>
  <c r="F47" i="32"/>
  <c r="F46" i="32"/>
  <c r="F45" i="32"/>
  <c r="F44" i="32"/>
  <c r="F43" i="32"/>
  <c r="F42" i="32"/>
  <c r="F41" i="32"/>
  <c r="F40" i="32"/>
  <c r="F39" i="32"/>
  <c r="F38" i="32"/>
  <c r="F37" i="32"/>
  <c r="F36" i="32"/>
  <c r="F35" i="32"/>
  <c r="F34" i="32"/>
  <c r="F33" i="32"/>
  <c r="F32" i="32"/>
  <c r="F31" i="32"/>
  <c r="F30" i="32"/>
  <c r="F29" i="32"/>
  <c r="F28" i="32"/>
  <c r="F27" i="32"/>
  <c r="F26" i="32"/>
  <c r="F25" i="32"/>
  <c r="F24" i="32"/>
  <c r="F23" i="32"/>
  <c r="F22" i="32"/>
  <c r="G22" i="32" s="1"/>
  <c r="F21" i="32"/>
  <c r="G21" i="32" s="1"/>
  <c r="F20" i="32"/>
  <c r="F19" i="32"/>
  <c r="F18" i="32"/>
  <c r="F17" i="32"/>
  <c r="F16" i="32"/>
  <c r="F15" i="32"/>
  <c r="F14" i="32"/>
  <c r="F13" i="32"/>
  <c r="F12" i="32"/>
  <c r="F11" i="32"/>
  <c r="F10" i="32"/>
  <c r="F9" i="32"/>
  <c r="F8" i="32"/>
  <c r="F7" i="32"/>
  <c r="F6" i="32"/>
  <c r="F5" i="32"/>
  <c r="F4" i="32"/>
  <c r="F3" i="32"/>
  <c r="F2" i="32"/>
  <c r="M105" i="4"/>
  <c r="M104" i="4"/>
  <c r="M103" i="4"/>
  <c r="M102" i="4"/>
  <c r="M101" i="4"/>
  <c r="M100" i="4"/>
  <c r="M99" i="4"/>
  <c r="M98" i="4"/>
  <c r="M97" i="4"/>
  <c r="M96" i="4"/>
  <c r="M95" i="4"/>
  <c r="M94" i="4"/>
  <c r="N94" i="4" s="1"/>
  <c r="M93" i="4"/>
  <c r="N93" i="4" s="1"/>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9" i="4"/>
  <c r="M8" i="4"/>
  <c r="N10" i="4" s="1"/>
  <c r="M7" i="4"/>
  <c r="M6" i="4"/>
  <c r="M5" i="4"/>
  <c r="M4" i="4"/>
  <c r="M3" i="4"/>
  <c r="M2"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G46" i="4" s="1"/>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2" i="4"/>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 r="F14" i="6" l="1"/>
  <c r="G16" i="6" s="1"/>
  <c r="F18" i="6"/>
  <c r="G40" i="32" s="1"/>
  <c r="N87" i="4"/>
  <c r="N65" i="4"/>
  <c r="F42" i="6"/>
  <c r="G44" i="4"/>
  <c r="G11" i="32"/>
  <c r="F32" i="6"/>
  <c r="F11" i="6"/>
  <c r="G34" i="32" s="1"/>
  <c r="F6" i="6" s="1"/>
  <c r="G29" i="32" s="1"/>
  <c r="F31" i="6"/>
  <c r="O31" i="6" s="1"/>
  <c r="F29" i="6" s="1"/>
  <c r="G31" i="6" s="1"/>
  <c r="F28" i="6" s="1"/>
  <c r="G50" i="32" s="1"/>
  <c r="F27" i="6" s="1"/>
  <c r="G49" i="32" s="1"/>
  <c r="F26" i="6" s="1"/>
  <c r="G48" i="32" s="1"/>
  <c r="F25" i="6" s="1"/>
  <c r="G47" i="32" s="1"/>
  <c r="F24" i="6" s="1"/>
  <c r="G46" i="32" s="1"/>
  <c r="F23" i="6" s="1"/>
  <c r="G45" i="32" s="1"/>
  <c r="F22" i="6" s="1"/>
  <c r="G44" i="32" s="1"/>
  <c r="F21" i="6" s="1"/>
  <c r="K21" i="6" s="1"/>
  <c r="G20" i="32"/>
  <c r="F37" i="6"/>
  <c r="G13" i="32"/>
  <c r="F4" i="6"/>
  <c r="G27" i="32" s="1"/>
  <c r="N70" i="4" s="1"/>
  <c r="N67" i="4" s="1"/>
  <c r="N9" i="4" s="1"/>
  <c r="G35" i="4" s="1"/>
  <c r="F31" i="5" s="1"/>
  <c r="F19" i="6"/>
  <c r="G51" i="32"/>
  <c r="G39" i="32" s="1"/>
  <c r="H6" i="32"/>
  <c r="H39" i="32"/>
  <c r="H26" i="32"/>
  <c r="G19" i="32"/>
  <c r="G9" i="32" s="1"/>
  <c r="K29" i="6" s="1"/>
  <c r="G8" i="32" s="1"/>
  <c r="G7" i="32" s="1"/>
  <c r="G5" i="32" s="1"/>
  <c r="G4" i="32" s="1"/>
  <c r="N96" i="4" s="1"/>
  <c r="N89" i="4" s="1"/>
  <c r="N81" i="4" s="1"/>
  <c r="N79" i="4" s="1"/>
  <c r="N77" i="4" s="1"/>
  <c r="N73" i="4" s="1"/>
  <c r="N72" i="4" s="1"/>
  <c r="N64" i="4" s="1"/>
  <c r="N60" i="4" s="1"/>
  <c r="N59" i="4" s="1"/>
  <c r="N58" i="4" s="1"/>
  <c r="N50" i="4" s="1"/>
  <c r="N30" i="4" s="1"/>
  <c r="N26" i="4" s="1"/>
  <c r="N24" i="4" s="1"/>
  <c r="N13" i="4" s="1"/>
  <c r="N11" i="4" s="1"/>
  <c r="N4" i="4" s="1"/>
  <c r="R4" i="7" s="1"/>
  <c r="G104" i="4" s="1"/>
  <c r="G102" i="4" s="1"/>
  <c r="G101" i="4" s="1"/>
  <c r="G100" i="4" s="1"/>
  <c r="G99" i="4" s="1"/>
  <c r="G97" i="4" s="1"/>
  <c r="G96" i="4" s="1"/>
  <c r="G95" i="4" s="1"/>
  <c r="G94" i="4" s="1"/>
  <c r="G93" i="4" s="1"/>
  <c r="G92" i="4" s="1"/>
  <c r="G90" i="4" s="1"/>
  <c r="G89" i="4" s="1"/>
  <c r="G88" i="4" s="1"/>
  <c r="G87" i="4" s="1"/>
  <c r="G86" i="4" s="1"/>
  <c r="G85" i="4" s="1"/>
  <c r="G83" i="4" s="1"/>
  <c r="G81" i="4" s="1"/>
  <c r="G79" i="4" s="1"/>
  <c r="G78" i="4" s="1"/>
  <c r="G77" i="4" s="1"/>
  <c r="G76" i="4" s="1"/>
  <c r="G75" i="4" s="1"/>
  <c r="G73" i="4" s="1"/>
  <c r="G72" i="4" s="1"/>
  <c r="G71" i="4" s="1"/>
  <c r="G70" i="4" s="1"/>
  <c r="G69" i="4" s="1"/>
  <c r="G67" i="4" s="1"/>
  <c r="G66" i="4" s="1"/>
  <c r="G65" i="4" s="1"/>
  <c r="G64" i="4" s="1"/>
  <c r="G63" i="4" s="1"/>
  <c r="G62" i="4" s="1"/>
  <c r="G60" i="4" s="1"/>
  <c r="G59" i="4" s="1"/>
  <c r="G58" i="4" s="1"/>
  <c r="G57" i="4" s="1"/>
  <c r="G55" i="4" s="1"/>
  <c r="G53" i="4" s="1"/>
  <c r="G52" i="4" s="1"/>
  <c r="G51" i="4" s="1"/>
  <c r="G50" i="4" s="1"/>
  <c r="G49" i="4" s="1"/>
  <c r="G48" i="4" s="1"/>
  <c r="G45" i="4" s="1"/>
  <c r="G43" i="4" s="1"/>
  <c r="G42" i="4" s="1"/>
  <c r="G41" i="4" s="1"/>
  <c r="G40" i="4" s="1"/>
  <c r="G39" i="4" s="1"/>
  <c r="G38" i="4" s="1"/>
  <c r="G37" i="4" s="1"/>
  <c r="G34" i="4" s="1"/>
  <c r="G33" i="4" s="1"/>
  <c r="G31" i="4" s="1"/>
  <c r="G30" i="4" s="1"/>
  <c r="G29" i="4" s="1"/>
  <c r="G28" i="4" s="1"/>
  <c r="G26" i="4" s="1"/>
  <c r="G24" i="4" s="1"/>
  <c r="G23" i="4" s="1"/>
  <c r="G13" i="4" s="1"/>
  <c r="G11" i="4" s="1"/>
  <c r="G10" i="4" s="1"/>
  <c r="G9" i="4" s="1"/>
  <c r="G8" i="4" s="1"/>
  <c r="G7" i="4" s="1"/>
  <c r="G6" i="4" s="1"/>
  <c r="G5" i="4" s="1"/>
  <c r="G2" i="4" s="1"/>
  <c r="F41" i="6"/>
  <c r="F35" i="6" s="1"/>
  <c r="K35" i="6" s="1"/>
  <c r="F34" i="6" s="1"/>
  <c r="K34" i="6" s="1"/>
  <c r="F13" i="6" s="1"/>
  <c r="G36" i="32" s="1"/>
  <c r="F5" i="6" s="1"/>
  <c r="G28" i="32" s="1"/>
  <c r="G37" i="32" s="1"/>
  <c r="G24" i="32" s="1"/>
  <c r="N105" i="4" s="1"/>
  <c r="N100" i="4" s="1"/>
  <c r="N86" i="4" s="1"/>
  <c r="N78" i="4" s="1"/>
  <c r="N19" i="4" s="1"/>
  <c r="G106" i="4" s="1"/>
  <c r="G105" i="4" s="1"/>
  <c r="G47" i="4" s="1"/>
  <c r="F20" i="6"/>
  <c r="K18" i="6" l="1"/>
  <c r="G43" i="32"/>
  <c r="K19" i="6"/>
  <c r="G41" i="32"/>
  <c r="K20" i="6"/>
  <c r="G42" i="32"/>
  <c r="F12" i="6" s="1"/>
  <c r="G35" i="32" s="1"/>
  <c r="F9" i="6" s="1"/>
  <c r="G32" i="32" s="1"/>
  <c r="F8" i="6" s="1"/>
  <c r="G31" i="32" s="1"/>
  <c r="F7" i="6" s="1"/>
  <c r="G30" i="32" s="1"/>
  <c r="G12" i="32" s="1"/>
  <c r="N102" i="4" s="1"/>
  <c r="N88" i="4" s="1"/>
  <c r="N23" i="4" s="1"/>
  <c r="N7" i="4" s="1"/>
  <c r="N6" i="4" s="1"/>
  <c r="F50" i="5" s="1"/>
  <c r="F49" i="5" s="1"/>
  <c r="F48" i="5" s="1"/>
  <c r="F47" i="5" s="1"/>
  <c r="F46" i="5" s="1"/>
  <c r="F45" i="5" s="1"/>
  <c r="F44" i="5" s="1"/>
  <c r="F43" i="5" s="1"/>
  <c r="F42" i="5" s="1"/>
  <c r="F41" i="5" s="1"/>
  <c r="F40" i="5" s="1"/>
  <c r="F39" i="5" s="1"/>
  <c r="F38" i="5" s="1"/>
  <c r="F37" i="5" s="1"/>
  <c r="F36" i="5" s="1"/>
  <c r="F35" i="5" s="1"/>
  <c r="F34" i="5" s="1"/>
  <c r="F33" i="5" s="1"/>
  <c r="F32" i="5" s="1"/>
  <c r="F30" i="5" s="1"/>
  <c r="F29" i="5" s="1"/>
  <c r="F28" i="5" s="1"/>
  <c r="F26" i="5" s="1"/>
  <c r="F25" i="5" s="1"/>
  <c r="F24" i="5" s="1"/>
  <c r="F23" i="5" s="1"/>
  <c r="F22" i="5" s="1"/>
  <c r="F21" i="5" s="1"/>
  <c r="F20" i="5" s="1"/>
  <c r="F19" i="5" s="1"/>
  <c r="F18" i="5" s="1"/>
  <c r="F17" i="5" s="1"/>
  <c r="F16" i="5" s="1"/>
  <c r="F15" i="5" s="1"/>
  <c r="F14" i="5" s="1"/>
  <c r="F13" i="5" s="1"/>
  <c r="F12" i="5" s="1"/>
  <c r="F11" i="5" s="1"/>
  <c r="F10" i="5" s="1"/>
  <c r="F9" i="5" s="1"/>
  <c r="F5" i="5" s="1"/>
  <c r="F4" i="5" s="1"/>
  <c r="F3" i="5" s="1"/>
  <c r="F2" i="5" s="1"/>
  <c r="G2" i="32"/>
  <c r="E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Niels Jungbluth</author>
  </authors>
  <commentList>
    <comment ref="O65" authorId="0" shapeId="0" xr:uid="{FA2458DB-6615-4EAE-915A-DDFF44A0F6A6}">
      <text>
        <r>
          <rPr>
            <b/>
            <sz val="9"/>
            <color indexed="81"/>
            <rFont val="Segoe UI"/>
            <family val="2"/>
          </rPr>
          <t>Niels Jungbluth:</t>
        </r>
        <r>
          <rPr>
            <sz val="9"/>
            <color indexed="81"/>
            <rFont val="Segoe UI"/>
            <family val="2"/>
          </rPr>
          <t xml:space="preserve">
Test für Sprache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Niels Jungbluth</author>
    <author xml:space="preserve"> Niels Jungbluth</author>
    <author>Reto Steiner</author>
    <author>Matthias Stucki</author>
    <author>Karin Flury</author>
  </authors>
  <commentList>
    <comment ref="AB2" authorId="0" shapeId="0" xr:uid="{00000000-0006-0000-0300-000001000000}">
      <text>
        <r>
          <rPr>
            <b/>
            <sz val="8"/>
            <color indexed="81"/>
            <rFont val="Tahoma"/>
            <family val="2"/>
          </rPr>
          <t>Niels Jungbluth:</t>
        </r>
        <r>
          <rPr>
            <sz val="8"/>
            <color indexed="81"/>
            <rFont val="Tahoma"/>
            <family val="2"/>
          </rPr>
          <t xml:space="preserve">
Daten von Matthias aus FP Biomasse</t>
        </r>
      </text>
    </comment>
    <comment ref="AG2" authorId="0" shapeId="0" xr:uid="{3C580834-C7D1-4D4D-996D-C33F2DA408F4}">
      <text>
        <r>
          <rPr>
            <b/>
            <sz val="9"/>
            <color indexed="81"/>
            <rFont val="Segoe UI"/>
            <family val="2"/>
          </rPr>
          <t>Niels Jungbluth:</t>
        </r>
        <r>
          <rPr>
            <sz val="9"/>
            <color indexed="81"/>
            <rFont val="Segoe UI"/>
            <family val="2"/>
          </rPr>
          <t xml:space="preserve">
Umrechnung eingefügt gemäss Email Graf am 9.12.2019</t>
        </r>
      </text>
    </comment>
    <comment ref="AN2" authorId="0" shapeId="0" xr:uid="{00000000-0006-0000-0300-000002000000}">
      <text>
        <r>
          <rPr>
            <b/>
            <sz val="8"/>
            <color indexed="81"/>
            <rFont val="Tahoma"/>
            <family val="2"/>
          </rPr>
          <t>Niels Jungbluth:</t>
        </r>
        <r>
          <rPr>
            <sz val="8"/>
            <color indexed="81"/>
            <rFont val="Tahoma"/>
            <family val="2"/>
          </rPr>
          <t xml:space="preserve">
Annahme 50% desN NH3 wird emittiert</t>
        </r>
      </text>
    </comment>
    <comment ref="AJ4" authorId="1" shapeId="0" xr:uid="{00000000-0006-0000-0300-000003000000}">
      <text>
        <r>
          <rPr>
            <b/>
            <sz val="8"/>
            <color indexed="81"/>
            <rFont val="Tahoma"/>
            <family val="2"/>
          </rPr>
          <t xml:space="preserve"> Niels Jungbluth:</t>
        </r>
        <r>
          <rPr>
            <sz val="8"/>
            <color indexed="81"/>
            <rFont val="Tahoma"/>
            <family val="2"/>
          </rPr>
          <t xml:space="preserve">
Einfügen als Memory Item. Vorerst Kontrollrechnung wie bisher</t>
        </r>
      </text>
    </comment>
    <comment ref="AL4" authorId="0" shapeId="0" xr:uid="{00000000-0006-0000-0300-000004000000}">
      <text>
        <r>
          <rPr>
            <b/>
            <sz val="8"/>
            <color indexed="81"/>
            <rFont val="Tahoma"/>
            <family val="2"/>
          </rPr>
          <t>Niels Jungbluth:</t>
        </r>
        <r>
          <rPr>
            <sz val="8"/>
            <color indexed="81"/>
            <rFont val="Tahoma"/>
            <family val="2"/>
          </rPr>
          <t xml:space="preserve">
50% CH4 Potential
</t>
        </r>
      </text>
    </comment>
    <comment ref="AM4" authorId="0" shapeId="0" xr:uid="{00000000-0006-0000-0300-000005000000}">
      <text>
        <r>
          <rPr>
            <b/>
            <sz val="8"/>
            <color indexed="81"/>
            <rFont val="Tahoma"/>
            <family val="2"/>
          </rPr>
          <t>Niels Jungbluth:</t>
        </r>
        <r>
          <rPr>
            <sz val="8"/>
            <color indexed="81"/>
            <rFont val="Tahoma"/>
            <family val="2"/>
          </rPr>
          <t xml:space="preserve">
Gemäss Edelmann (2001:31) wurde  mit rund 75 l Gasemis-sion pro kg OS gerechnet. 
Der Methangehalt des bei reiner Lagerung entstehenden Gases wurde in der Standardvariante konservativ auf 24% festgelegt . Gewicht ist scheinbar 0.780 kg/m3 
</t>
        </r>
      </text>
    </comment>
    <comment ref="AN4" authorId="0" shapeId="0" xr:uid="{00000000-0006-0000-0300-000006000000}">
      <text>
        <r>
          <rPr>
            <b/>
            <sz val="8"/>
            <color indexed="81"/>
            <rFont val="Tahoma"/>
            <family val="2"/>
          </rPr>
          <t>Niels Jungbluth:</t>
        </r>
        <r>
          <rPr>
            <sz val="8"/>
            <color indexed="81"/>
            <rFont val="Tahoma"/>
            <family val="2"/>
          </rPr>
          <t xml:space="preserve">
Neue Annahmen gemäss Stucki bzw. Edelmann 2001.</t>
        </r>
      </text>
    </comment>
    <comment ref="BI4" authorId="2" shapeId="0" xr:uid="{00000000-0006-0000-0300-000007000000}">
      <text>
        <r>
          <rPr>
            <b/>
            <sz val="8"/>
            <color indexed="81"/>
            <rFont val="Tahoma"/>
            <family val="2"/>
          </rPr>
          <t>Reto Steiner:</t>
        </r>
        <r>
          <rPr>
            <sz val="8"/>
            <color indexed="81"/>
            <rFont val="Tahoma"/>
            <family val="2"/>
          </rPr>
          <t xml:space="preserve">
Zahlen von Wirz / AGRIDEA, ohne Stallabwesenheit!</t>
        </r>
      </text>
    </comment>
    <comment ref="BJ4" authorId="2" shapeId="0" xr:uid="{00000000-0006-0000-0300-000008000000}">
      <text>
        <r>
          <rPr>
            <b/>
            <sz val="8"/>
            <color indexed="81"/>
            <rFont val="Tahoma"/>
            <family val="2"/>
          </rPr>
          <t>Reto Steiner:</t>
        </r>
        <r>
          <rPr>
            <sz val="8"/>
            <color indexed="81"/>
            <rFont val="Tahoma"/>
            <family val="2"/>
          </rPr>
          <t xml:space="preserve">
Zahlen von Wirz / AGRIDEA, ohne Stallabwesenheit!</t>
        </r>
      </text>
    </comment>
    <comment ref="BL4" authorId="2" shapeId="0" xr:uid="{00000000-0006-0000-0300-000009000000}">
      <text>
        <r>
          <rPr>
            <b/>
            <sz val="8"/>
            <color indexed="81"/>
            <rFont val="Tahoma"/>
            <family val="2"/>
          </rPr>
          <t>Reto Steiner:</t>
        </r>
        <r>
          <rPr>
            <sz val="8"/>
            <color indexed="81"/>
            <rFont val="Tahoma"/>
            <family val="2"/>
          </rPr>
          <t xml:space="preserve">
Abwasser aus Stallreinigung, Tierpflege, von Plätzen.. normalerweise 1:1 zu Gülle</t>
        </r>
      </text>
    </comment>
    <comment ref="BM4" authorId="2" shapeId="0" xr:uid="{00000000-0006-0000-0300-00000A000000}">
      <text>
        <r>
          <rPr>
            <b/>
            <sz val="8"/>
            <color indexed="81"/>
            <rFont val="Tahoma"/>
            <family val="2"/>
          </rPr>
          <t>Reto Steiner:</t>
        </r>
        <r>
          <rPr>
            <sz val="8"/>
            <color indexed="81"/>
            <rFont val="Tahoma"/>
            <family val="2"/>
          </rPr>
          <t xml:space="preserve">
Gülle mit Abwasser verdünnt. Einlauf in Güllegrube, resp. Vorgrube</t>
        </r>
      </text>
    </comment>
    <comment ref="AP6" authorId="0" shapeId="0" xr:uid="{00000000-0006-0000-0300-00000B000000}">
      <text>
        <r>
          <rPr>
            <b/>
            <sz val="8"/>
            <color indexed="81"/>
            <rFont val="Tahoma"/>
            <family val="2"/>
          </rPr>
          <t>Niels Jungbluth:</t>
        </r>
        <r>
          <rPr>
            <sz val="8"/>
            <color indexed="81"/>
            <rFont val="Tahoma"/>
            <family val="2"/>
          </rPr>
          <t xml:space="preserve">
Neu in v7.1 wurde auch der Anteil flüssig Lager am Gesamt berücksichtigt.</t>
        </r>
      </text>
    </comment>
    <comment ref="AB38" authorId="3" shapeId="0" xr:uid="{00000000-0006-0000-0300-00000D000000}">
      <text>
        <r>
          <rPr>
            <b/>
            <sz val="8"/>
            <color indexed="81"/>
            <rFont val="Tahoma"/>
            <family val="2"/>
          </rPr>
          <t>Matthias Stucki:</t>
        </r>
        <r>
          <rPr>
            <sz val="8"/>
            <color indexed="81"/>
            <rFont val="Tahoma"/>
            <family val="2"/>
          </rPr>
          <t xml:space="preserve">
FNR-Daten für Biotonne</t>
        </r>
      </text>
    </comment>
    <comment ref="AG49" authorId="4" shapeId="0" xr:uid="{00000000-0006-0000-0300-00000F000000}">
      <text>
        <r>
          <rPr>
            <b/>
            <sz val="9"/>
            <color indexed="81"/>
            <rFont val="Tahoma"/>
            <family val="2"/>
          </rPr>
          <t>Karin Flury:</t>
        </r>
        <r>
          <rPr>
            <sz val="9"/>
            <color indexed="81"/>
            <rFont val="Tahoma"/>
            <family val="2"/>
          </rPr>
          <t xml:space="preserve">
Kann nicht sein.
In neuen Daten als 700 angegeben, als Hardcopy. Die beiden anderen Werte sind da aber auch angegeben.</t>
        </r>
      </text>
    </comment>
    <comment ref="AB54" authorId="3" shapeId="0" xr:uid="{00000000-0006-0000-0300-000010000000}">
      <text>
        <r>
          <rPr>
            <b/>
            <sz val="8"/>
            <color indexed="81"/>
            <rFont val="Tahoma"/>
            <family val="2"/>
          </rPr>
          <t>Matthias Stucki:</t>
        </r>
        <r>
          <rPr>
            <sz val="8"/>
            <color indexed="81"/>
            <rFont val="Tahoma"/>
            <family val="2"/>
          </rPr>
          <t xml:space="preserve">
FNR-Daten für Grassilage</t>
        </r>
      </text>
    </comment>
    <comment ref="AB55" authorId="3" shapeId="0" xr:uid="{00000000-0006-0000-0300-000011000000}">
      <text>
        <r>
          <rPr>
            <b/>
            <sz val="8"/>
            <color indexed="81"/>
            <rFont val="Tahoma"/>
            <family val="2"/>
          </rPr>
          <t>Matthias Stucki:</t>
        </r>
        <r>
          <rPr>
            <sz val="8"/>
            <color indexed="81"/>
            <rFont val="Tahoma"/>
            <family val="2"/>
          </rPr>
          <t xml:space="preserve">
FNR-Daten für Grassilage</t>
        </r>
      </text>
    </comment>
    <comment ref="AH60" authorId="0" shapeId="0" xr:uid="{843AA398-4066-4E19-9E89-76B79DA45C35}">
      <text>
        <r>
          <rPr>
            <b/>
            <sz val="9"/>
            <color indexed="81"/>
            <rFont val="Segoe UI"/>
            <family val="2"/>
          </rPr>
          <t>Niels Jungbluth:</t>
        </r>
        <r>
          <rPr>
            <sz val="9"/>
            <color indexed="81"/>
            <rFont val="Segoe UI"/>
            <family val="2"/>
          </rPr>
          <t xml:space="preserve">
9.12.2019, A. Wellinger</t>
        </r>
      </text>
    </comment>
    <comment ref="AB69" authorId="3" shapeId="0" xr:uid="{00000000-0006-0000-0300-000012000000}">
      <text>
        <r>
          <rPr>
            <b/>
            <sz val="8"/>
            <color indexed="81"/>
            <rFont val="Tahoma"/>
            <family val="2"/>
          </rPr>
          <t>Matthias Stucki:</t>
        </r>
        <r>
          <rPr>
            <sz val="8"/>
            <color indexed="81"/>
            <rFont val="Tahoma"/>
            <family val="2"/>
          </rPr>
          <t xml:space="preserve">
FNR-Daten für Grassilage</t>
        </r>
      </text>
    </comment>
    <comment ref="AH100" authorId="0" shapeId="0" xr:uid="{FF1E7195-BE7E-4694-B2F5-4CBECC71832D}">
      <text>
        <r>
          <rPr>
            <b/>
            <sz val="9"/>
            <color indexed="81"/>
            <rFont val="Segoe UI"/>
            <family val="2"/>
          </rPr>
          <t>Niels Jungbluth:</t>
        </r>
        <r>
          <rPr>
            <sz val="9"/>
            <color indexed="81"/>
            <rFont val="Segoe UI"/>
            <family val="2"/>
          </rPr>
          <t xml:space="preserve">
9.12.2019 gemäss A. Wellinger</t>
        </r>
      </text>
    </comment>
    <comment ref="AH101" authorId="0" shapeId="0" xr:uid="{2D15D78E-A631-4D22-A754-CB1F27E91402}">
      <text>
        <r>
          <rPr>
            <b/>
            <sz val="9"/>
            <color indexed="81"/>
            <rFont val="Segoe UI"/>
            <family val="2"/>
          </rPr>
          <t>Niels Jungbluth:</t>
        </r>
        <r>
          <rPr>
            <sz val="9"/>
            <color indexed="81"/>
            <rFont val="Segoe UI"/>
            <family val="2"/>
          </rPr>
          <t xml:space="preserve">
9.12.2019 gemäss A. Wellinger</t>
        </r>
      </text>
    </comment>
    <comment ref="S124" authorId="0" shapeId="0" xr:uid="{1B1CB750-32AA-4BAB-907D-C5CB6DBB2683}">
      <text>
        <r>
          <rPr>
            <b/>
            <sz val="9"/>
            <color indexed="81"/>
            <rFont val="Segoe UI"/>
            <family val="2"/>
          </rPr>
          <t>Niels Jungbluth:</t>
        </r>
        <r>
          <rPr>
            <sz val="9"/>
            <color indexed="81"/>
            <rFont val="Segoe UI"/>
            <family val="2"/>
          </rPr>
          <t xml:space="preserve">
Angaben Biogas Niedergösgen von energie 360 am 23.9.2019</t>
        </r>
      </text>
    </comment>
    <comment ref="Z124" authorId="0" shapeId="0" xr:uid="{29535483-65E6-40FF-A761-2822529D4A85}">
      <text>
        <r>
          <rPr>
            <b/>
            <sz val="9"/>
            <color indexed="81"/>
            <rFont val="Segoe UI"/>
            <family val="2"/>
          </rPr>
          <t>Niels Jungbluth:</t>
        </r>
        <r>
          <rPr>
            <sz val="9"/>
            <color indexed="81"/>
            <rFont val="Segoe UI"/>
            <family val="2"/>
          </rPr>
          <t xml:space="preserve">
 3.1 mg/l NH4+-N im Einlauf der Reaktoren</t>
        </r>
      </text>
    </comment>
    <comment ref="AD124" authorId="0" shapeId="0" xr:uid="{C7281D55-05BD-44BC-A281-754B3AF332C4}">
      <text>
        <r>
          <rPr>
            <b/>
            <sz val="9"/>
            <color indexed="81"/>
            <rFont val="Segoe UI"/>
            <family val="2"/>
          </rPr>
          <t>Niels Jungbluth:</t>
        </r>
        <r>
          <rPr>
            <sz val="9"/>
            <color indexed="81"/>
            <rFont val="Segoe UI"/>
            <family val="2"/>
          </rPr>
          <t xml:space="preserve">
Auslauf/Einlauf</t>
        </r>
      </text>
    </comment>
    <comment ref="AR126" authorId="0" shapeId="0" xr:uid="{00000000-0006-0000-0300-000013000000}">
      <text>
        <r>
          <rPr>
            <b/>
            <sz val="8"/>
            <color indexed="81"/>
            <rFont val="Tahoma"/>
            <family val="2"/>
          </rPr>
          <t>Niels Jungbluth:</t>
        </r>
        <r>
          <rPr>
            <sz val="8"/>
            <color indexed="81"/>
            <rFont val="Tahoma"/>
            <family val="2"/>
          </rPr>
          <t xml:space="preserve">
Ausbringung nur berücksichtigt wenn bezahlt.</t>
        </r>
      </text>
    </comment>
    <comment ref="AP137" authorId="0" shapeId="0" xr:uid="{00000000-0006-0000-0300-000014000000}">
      <text>
        <r>
          <rPr>
            <b/>
            <sz val="8"/>
            <color indexed="81"/>
            <rFont val="Tahoma"/>
            <family val="2"/>
          </rPr>
          <t>Niels Jungbluth:</t>
        </r>
        <r>
          <rPr>
            <sz val="8"/>
            <color indexed="81"/>
            <rFont val="Tahoma"/>
            <family val="2"/>
          </rPr>
          <t xml:space="preserve">
Lagerung fest neu berücksichtigt in v7.1</t>
        </r>
      </text>
    </comment>
    <comment ref="AR137" authorId="0" shapeId="0" xr:uid="{00000000-0006-0000-0300-000015000000}">
      <text>
        <r>
          <rPr>
            <b/>
            <sz val="8"/>
            <color indexed="81"/>
            <rFont val="Tahoma"/>
            <family val="2"/>
          </rPr>
          <t>Niels Jungbluth:</t>
        </r>
        <r>
          <rPr>
            <sz val="8"/>
            <color indexed="81"/>
            <rFont val="Tahoma"/>
            <family val="2"/>
          </rPr>
          <t xml:space="preserve">
Ausbringung nur berücksichtigt wenn bezahlt.</t>
        </r>
      </text>
    </comment>
    <comment ref="T138" authorId="0" shapeId="0" xr:uid="{00000000-0006-0000-0300-000016000000}">
      <text>
        <r>
          <rPr>
            <b/>
            <sz val="8"/>
            <color indexed="81"/>
            <rFont val="Tahoma"/>
            <family val="2"/>
          </rPr>
          <t>Niels Jungbluth:</t>
        </r>
        <r>
          <rPr>
            <sz val="8"/>
            <color indexed="81"/>
            <rFont val="Tahoma"/>
            <family val="2"/>
          </rPr>
          <t xml:space="preserve">
Edelmann 2008 Durchschnitt aller Anlagen</t>
        </r>
      </text>
    </comment>
    <comment ref="W138" authorId="0" shapeId="0" xr:uid="{00000000-0006-0000-0300-000017000000}">
      <text>
        <r>
          <rPr>
            <b/>
            <sz val="8"/>
            <color indexed="81"/>
            <rFont val="Tahoma"/>
            <family val="2"/>
          </rPr>
          <t>Niels Jungbluth:</t>
        </r>
        <r>
          <rPr>
            <sz val="8"/>
            <color indexed="81"/>
            <rFont val="Tahoma"/>
            <family val="2"/>
          </rPr>
          <t xml:space="preserve">
Edelmann 2008 Durchschnitt aller Anlagen</t>
        </r>
      </text>
    </comment>
    <comment ref="AH138" authorId="0" shapeId="0" xr:uid="{00000000-0006-0000-0300-000018000000}">
      <text>
        <r>
          <rPr>
            <b/>
            <sz val="8"/>
            <color indexed="81"/>
            <rFont val="Tahoma"/>
            <family val="2"/>
          </rPr>
          <t>Niels Jungbluth:</t>
        </r>
        <r>
          <rPr>
            <sz val="8"/>
            <color indexed="81"/>
            <rFont val="Tahoma"/>
            <family val="2"/>
          </rPr>
          <t xml:space="preserve">
http://www.arbi.ch/ADsw.pdf
90 -150 m3 gas pro t FM Input. Grob geschätzt.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Niels Jungbluth</author>
    <author>tc={B5BFF59B-6171-4985-84B5-C165BCEFFE75}</author>
  </authors>
  <commentList>
    <comment ref="F7" authorId="0" shapeId="0" xr:uid="{00000000-0006-0000-1000-000001000000}">
      <text>
        <r>
          <rPr>
            <b/>
            <sz val="8"/>
            <color indexed="81"/>
            <rFont val="Tahoma"/>
            <family val="2"/>
          </rPr>
          <t>Niels Jungbluth:</t>
        </r>
        <r>
          <rPr>
            <sz val="8"/>
            <color indexed="81"/>
            <rFont val="Tahoma"/>
            <family val="2"/>
          </rPr>
          <t xml:space="preserve">
Allokation zwischen Entsorgung und Düngerwert</t>
        </r>
      </text>
    </comment>
    <comment ref="G7" authorId="0" shapeId="0" xr:uid="{00000000-0006-0000-1000-000002000000}">
      <text>
        <r>
          <rPr>
            <b/>
            <sz val="8"/>
            <color indexed="81"/>
            <rFont val="Tahoma"/>
            <family val="2"/>
          </rPr>
          <t>Niels Jungbluth:</t>
        </r>
        <r>
          <rPr>
            <sz val="8"/>
            <color indexed="81"/>
            <rFont val="Tahoma"/>
            <family val="2"/>
          </rPr>
          <t xml:space="preserve">
Allokation zwischen Entsorgung und Düngerwert</t>
        </r>
      </text>
    </comment>
    <comment ref="I7" authorId="0" shapeId="0" xr:uid="{00000000-0006-0000-1000-000003000000}">
      <text>
        <r>
          <rPr>
            <b/>
            <sz val="8"/>
            <color indexed="81"/>
            <rFont val="Tahoma"/>
            <family val="2"/>
          </rPr>
          <t>Niels Jungbluth:</t>
        </r>
        <r>
          <rPr>
            <sz val="8"/>
            <color indexed="81"/>
            <rFont val="Tahoma"/>
            <family val="2"/>
          </rPr>
          <t xml:space="preserve">
Allokation zwischen Bereitstellung Brennstoff und Entsorgung anhand der Preise.
Bei 8% Wassergehalt beträgt der Energiegehalt 9.61 MJ/kg. Dieser wird mit 2.77 CHF/MJ bzw. 26.6 CHF/t Klärschlamm verrechnet </t>
        </r>
      </text>
    </comment>
    <comment ref="C13" authorId="0" shapeId="0" xr:uid="{00000000-0006-0000-1000-000004000000}">
      <text>
        <r>
          <rPr>
            <b/>
            <sz val="9"/>
            <color indexed="81"/>
            <rFont val="Tahoma"/>
            <family val="2"/>
          </rPr>
          <t>Niels Jungbluth:</t>
        </r>
        <r>
          <rPr>
            <sz val="9"/>
            <color indexed="81"/>
            <rFont val="Tahoma"/>
            <family val="2"/>
          </rPr>
          <t xml:space="preserve">
Anpassung bei mehr als 20% Cosubstrat.</t>
        </r>
      </text>
    </comment>
    <comment ref="F14" authorId="1" shapeId="0" xr:uid="{B5BFF59B-6171-4985-84B5-C165BCEFFE75}">
      <text>
        <r>
          <rPr>
            <sz val="10"/>
            <rFont val="Arial"/>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Test für Klärschlamm in Landwirtschaft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Niels Jungbluth</author>
    <author xml:space="preserve"> Niels Jungbluth</author>
  </authors>
  <commentList>
    <comment ref="C5" authorId="0" shapeId="0" xr:uid="{00000000-0006-0000-1100-000001000000}">
      <text>
        <r>
          <rPr>
            <b/>
            <sz val="9"/>
            <color indexed="81"/>
            <rFont val="Tahoma"/>
            <family val="2"/>
          </rPr>
          <t>Niels Jungbluth:</t>
        </r>
        <r>
          <rPr>
            <sz val="9"/>
            <color indexed="81"/>
            <rFont val="Tahoma"/>
            <family val="2"/>
          </rPr>
          <t xml:space="preserve">
Soweit möglich habe ich die Preise aus den Deckungsbeiträgen 2012 (DB2012) entnommen. Weitere Angaben ergeben sich aus den Kommentaren.</t>
        </r>
      </text>
    </comment>
    <comment ref="F5" authorId="0" shapeId="0" xr:uid="{00000000-0006-0000-1100-000002000000}">
      <text>
        <r>
          <rPr>
            <b/>
            <sz val="9"/>
            <color indexed="81"/>
            <rFont val="Tahoma"/>
            <family val="2"/>
          </rPr>
          <t>Niels Jungbluth:</t>
        </r>
        <r>
          <rPr>
            <sz val="9"/>
            <color indexed="81"/>
            <rFont val="Tahoma"/>
            <family val="2"/>
          </rPr>
          <t xml:space="preserve">
https://www.sbv-usp.ch/preise/pflanzenbau/futtermittel/stroh/</t>
        </r>
      </text>
    </comment>
    <comment ref="H5" authorId="0" shapeId="0" xr:uid="{00000000-0006-0000-1100-000004000000}">
      <text>
        <r>
          <rPr>
            <b/>
            <sz val="9"/>
            <color indexed="81"/>
            <rFont val="Tahoma"/>
            <family val="2"/>
          </rPr>
          <t>Niels Jungbluth:</t>
        </r>
        <r>
          <rPr>
            <sz val="9"/>
            <color indexed="81"/>
            <rFont val="Tahoma"/>
            <family val="2"/>
          </rPr>
          <t xml:space="preserve">
DB2012:5 Tierhaltung auf FM</t>
        </r>
      </text>
    </comment>
    <comment ref="J5" authorId="0" shapeId="0" xr:uid="{00000000-0006-0000-1100-000005000000}">
      <text>
        <r>
          <rPr>
            <b/>
            <sz val="9"/>
            <color indexed="81"/>
            <rFont val="Tahoma"/>
            <family val="2"/>
          </rPr>
          <t>Niels Jungbluth:</t>
        </r>
        <r>
          <rPr>
            <sz val="9"/>
            <color indexed="81"/>
            <rFont val="Tahoma"/>
            <family val="2"/>
          </rPr>
          <t xml:space="preserve">
DB2012:42 Futter
</t>
        </r>
      </text>
    </comment>
    <comment ref="K5" authorId="0" shapeId="0" xr:uid="{00000000-0006-0000-1100-000006000000}">
      <text>
        <r>
          <rPr>
            <b/>
            <sz val="9"/>
            <color indexed="81"/>
            <rFont val="Tahoma"/>
            <family val="2"/>
          </rPr>
          <t>Niels Jungbluth:</t>
        </r>
        <r>
          <rPr>
            <sz val="9"/>
            <color indexed="81"/>
            <rFont val="Tahoma"/>
            <family val="2"/>
          </rPr>
          <t xml:space="preserve">
DB2012:33</t>
        </r>
      </text>
    </comment>
    <comment ref="M5" authorId="0" shapeId="0" xr:uid="{00000000-0006-0000-1100-000007000000}">
      <text>
        <r>
          <rPr>
            <b/>
            <sz val="9"/>
            <color indexed="81"/>
            <rFont val="Tahoma"/>
            <family val="2"/>
          </rPr>
          <t>Niels Jungbluth:</t>
        </r>
        <r>
          <rPr>
            <sz val="9"/>
            <color indexed="81"/>
            <rFont val="Tahoma"/>
            <family val="2"/>
          </rPr>
          <t xml:space="preserve">
DB2012:28</t>
        </r>
      </text>
    </comment>
    <comment ref="N5" authorId="0" shapeId="0" xr:uid="{00000000-0006-0000-1100-000008000000}">
      <text>
        <r>
          <rPr>
            <b/>
            <sz val="9"/>
            <color indexed="81"/>
            <rFont val="Tahoma"/>
            <family val="2"/>
          </rPr>
          <t>Niels Jungbluth:</t>
        </r>
        <r>
          <rPr>
            <sz val="9"/>
            <color indexed="81"/>
            <rFont val="Tahoma"/>
            <family val="2"/>
          </rPr>
          <t xml:space="preserve">
DB2012:30
</t>
        </r>
      </text>
    </comment>
    <comment ref="P5" authorId="0" shapeId="0" xr:uid="{00000000-0006-0000-1100-000009000000}">
      <text>
        <r>
          <rPr>
            <b/>
            <sz val="9"/>
            <color indexed="81"/>
            <rFont val="Tahoma"/>
            <family val="2"/>
          </rPr>
          <t>Niels Jungbluth:</t>
        </r>
        <r>
          <rPr>
            <sz val="9"/>
            <color indexed="81"/>
            <rFont val="Tahoma"/>
            <family val="2"/>
          </rPr>
          <t xml:space="preserve">
Schätzung
0.175 CHF ecoinvent
0.44 http://www.oelmuehle-moeriken.ch/ueber-uns/rapskuchen/index.html
0.35 http://www.vital-ag.ch/fachartikel/de/pdf/Rapsextraktionsschrot_im_Schweinefutter-gut_fuer_das_Tier_und_das_Portemonnaie.pdf</t>
        </r>
      </text>
    </comment>
    <comment ref="Q5" authorId="0" shapeId="0" xr:uid="{00000000-0006-0000-1100-00000A000000}">
      <text>
        <r>
          <rPr>
            <b/>
            <sz val="9"/>
            <color indexed="81"/>
            <rFont val="Tahoma"/>
            <family val="2"/>
          </rPr>
          <t>Niels Jungbluth:</t>
        </r>
        <r>
          <rPr>
            <sz val="9"/>
            <color indexed="81"/>
            <rFont val="Tahoma"/>
            <family val="2"/>
          </rPr>
          <t xml:space="preserve">
DB2012:13
</t>
        </r>
      </text>
    </comment>
    <comment ref="W5" authorId="0" shapeId="0" xr:uid="{00000000-0006-0000-1100-00000B000000}">
      <text>
        <r>
          <rPr>
            <b/>
            <sz val="9"/>
            <color indexed="81"/>
            <rFont val="Tahoma"/>
            <family val="2"/>
          </rPr>
          <t>Niels Jungbluth:</t>
        </r>
        <r>
          <rPr>
            <sz val="9"/>
            <color indexed="81"/>
            <rFont val="Tahoma"/>
            <family val="2"/>
          </rPr>
          <t xml:space="preserve">
ecoinvent No. 17p 359</t>
        </r>
      </text>
    </comment>
    <comment ref="X5" authorId="0" shapeId="0" xr:uid="{00000000-0006-0000-1100-00000C000000}">
      <text>
        <r>
          <rPr>
            <b/>
            <sz val="9"/>
            <color indexed="81"/>
            <rFont val="Tahoma"/>
            <family val="2"/>
          </rPr>
          <t>Niels Jungbluth:</t>
        </r>
        <r>
          <rPr>
            <sz val="9"/>
            <color indexed="81"/>
            <rFont val="Tahoma"/>
            <family val="2"/>
          </rPr>
          <t xml:space="preserve">
DB</t>
        </r>
      </text>
    </comment>
    <comment ref="Y5" authorId="0" shapeId="0" xr:uid="{00000000-0006-0000-1100-00000D000000}">
      <text>
        <r>
          <rPr>
            <b/>
            <sz val="9"/>
            <color indexed="81"/>
            <rFont val="Tahoma"/>
            <family val="2"/>
          </rPr>
          <t>Niels Jungbluth:</t>
        </r>
        <r>
          <rPr>
            <sz val="9"/>
            <color indexed="81"/>
            <rFont val="Tahoma"/>
            <family val="2"/>
          </rPr>
          <t xml:space="preserve">
http://www.schwyzer-baecker.ch/cms/upload/pdf/geschichte_6.pdf</t>
        </r>
      </text>
    </comment>
    <comment ref="Z5" authorId="0" shapeId="0" xr:uid="{00000000-0006-0000-1100-00000E000000}">
      <text>
        <r>
          <rPr>
            <b/>
            <sz val="9"/>
            <color indexed="81"/>
            <rFont val="Tahoma"/>
            <family val="2"/>
          </rPr>
          <t>Niels Jungbluth:</t>
        </r>
        <r>
          <rPr>
            <sz val="9"/>
            <color indexed="81"/>
            <rFont val="Tahoma"/>
            <family val="2"/>
          </rPr>
          <t xml:space="preserve">
Dissertation nj</t>
        </r>
      </text>
    </comment>
    <comment ref="AA5" authorId="0" shapeId="0" xr:uid="{00000000-0006-0000-1100-00000F000000}">
      <text>
        <r>
          <rPr>
            <b/>
            <sz val="9"/>
            <color indexed="81"/>
            <rFont val="Tahoma"/>
            <family val="2"/>
          </rPr>
          <t>Niels Jungbluth:</t>
        </r>
        <r>
          <rPr>
            <sz val="9"/>
            <color indexed="81"/>
            <rFont val="Tahoma"/>
            <family val="2"/>
          </rPr>
          <t xml:space="preserve">
Dissertation</t>
        </r>
      </text>
    </comment>
    <comment ref="AB5" authorId="0" shapeId="0" xr:uid="{00000000-0006-0000-1100-000010000000}">
      <text>
        <r>
          <rPr>
            <b/>
            <sz val="9"/>
            <color indexed="81"/>
            <rFont val="Tahoma"/>
            <family val="2"/>
          </rPr>
          <t>Niels Jungbluth:</t>
        </r>
        <r>
          <rPr>
            <sz val="9"/>
            <color indexed="81"/>
            <rFont val="Tahoma"/>
            <family val="2"/>
          </rPr>
          <t xml:space="preserve">
Swissmill, Projekt 410</t>
        </r>
      </text>
    </comment>
    <comment ref="AC5" authorId="0" shapeId="0" xr:uid="{08FDF9E6-0E7A-49B7-A521-6500807C1304}">
      <text>
        <r>
          <rPr>
            <b/>
            <sz val="9"/>
            <color indexed="81"/>
            <rFont val="Segoe UI"/>
            <family val="2"/>
          </rPr>
          <t>Niels Jungbluth:</t>
        </r>
        <r>
          <rPr>
            <sz val="9"/>
            <color indexed="81"/>
            <rFont val="Segoe UI"/>
            <family val="2"/>
          </rPr>
          <t xml:space="preserve">
12.2020 
https://www.pistorone.ch/index.php/locale:de_CH/catalog2/137335/frischprodukte/hefe/hefe-schweiz-ag</t>
        </r>
      </text>
    </comment>
    <comment ref="AD5" authorId="0" shapeId="0" xr:uid="{00000000-0006-0000-1100-000011000000}">
      <text>
        <r>
          <rPr>
            <b/>
            <sz val="9"/>
            <color indexed="81"/>
            <rFont val="Tahoma"/>
            <family val="2"/>
          </rPr>
          <t>Niels Jungbluth:</t>
        </r>
        <r>
          <rPr>
            <sz val="9"/>
            <color indexed="81"/>
            <rFont val="Tahoma"/>
            <family val="2"/>
          </rPr>
          <t xml:space="preserve">
12.2020
https://www.google.com/url?sa=t&amp;rct=j&amp;q=&amp;esrc=s&amp;source=web&amp;cd=&amp;ved=2ahUKEwi0rebPuKztAhVEDuwKHSCaB0oQFjAAegQIAhAC&amp;url=https%3A%2F%2Fwww.blw.admin.ch%2Fdam%2Fblw%2Fde%2Fdokumente%2FMarkt%2FMarktbeobachtung%2FMilch%2FMarktberichte%2Fmbm_2019_10-11.pdf.download.pdf%2FMBM_2019_10-11_d.pdf&amp;usg=AOvVaw3R60652YwWe3qwHNlU5d1K</t>
        </r>
      </text>
    </comment>
    <comment ref="AF6" authorId="0" shapeId="0" xr:uid="{FF65BF1B-7A36-4147-BE40-791CCA84DD6E}">
      <text>
        <r>
          <rPr>
            <b/>
            <sz val="9"/>
            <color indexed="81"/>
            <rFont val="Segoe UI"/>
            <family val="2"/>
          </rPr>
          <t>Niels Jungbluth:</t>
        </r>
        <r>
          <rPr>
            <sz val="9"/>
            <color indexed="81"/>
            <rFont val="Segoe UI"/>
            <family val="2"/>
          </rPr>
          <t xml:space="preserve">
Eigene Recherche 2.2021 durch VUE</t>
        </r>
      </text>
    </comment>
    <comment ref="F8" authorId="0" shapeId="0" xr:uid="{00000000-0006-0000-1100-000012000000}">
      <text>
        <r>
          <rPr>
            <b/>
            <sz val="9"/>
            <color indexed="81"/>
            <rFont val="Tahoma"/>
            <family val="2"/>
          </rPr>
          <t>Niels Jungbluth:</t>
        </r>
        <r>
          <rPr>
            <sz val="9"/>
            <color indexed="81"/>
            <rFont val="Tahoma"/>
            <family val="2"/>
          </rPr>
          <t xml:space="preserve">
0.1 Euro/kg http://www.lwk-niedersachsen.de/index.cfm/portal/6/nav/360/article/22534/rss/0.html
0.2 Euro/kg http://www.proplanta.de/Agrar-Nachrichten/Pflanze/November-Weizen-knackt-Marke-von-200-Euro_article1382266290.html</t>
        </r>
      </text>
    </comment>
    <comment ref="H8" authorId="0" shapeId="0" xr:uid="{00000000-0006-0000-1100-000014000000}">
      <text>
        <r>
          <rPr>
            <b/>
            <sz val="9"/>
            <color indexed="81"/>
            <rFont val="Tahoma"/>
            <family val="2"/>
          </rPr>
          <t>Niels Jungbluth:</t>
        </r>
        <r>
          <rPr>
            <sz val="9"/>
            <color indexed="81"/>
            <rFont val="Tahoma"/>
            <family val="2"/>
          </rPr>
          <t xml:space="preserve">
http://www.landtreff.de/preis-pro-tonne-fur-grassilage-t76267.html</t>
        </r>
      </text>
    </comment>
    <comment ref="J8" authorId="0" shapeId="0" xr:uid="{00000000-0006-0000-1100-000015000000}">
      <text>
        <r>
          <rPr>
            <b/>
            <sz val="9"/>
            <color indexed="81"/>
            <rFont val="Tahoma"/>
            <family val="2"/>
          </rPr>
          <t>Niels Jungbluth:</t>
        </r>
        <r>
          <rPr>
            <sz val="9"/>
            <color indexed="81"/>
            <rFont val="Tahoma"/>
            <family val="2"/>
          </rPr>
          <t xml:space="preserve">
http://www.proplanta.de/Markt-und-Preis/Agrarmarkt-Berichte/Heupreise-2013-KW27_notierungen1372868406.html</t>
        </r>
      </text>
    </comment>
    <comment ref="K8" authorId="0" shapeId="0" xr:uid="{00000000-0006-0000-1100-000016000000}">
      <text>
        <r>
          <rPr>
            <b/>
            <sz val="9"/>
            <color indexed="81"/>
            <rFont val="Tahoma"/>
            <family val="2"/>
          </rPr>
          <t>Niels Jungbluth:</t>
        </r>
        <r>
          <rPr>
            <sz val="9"/>
            <color indexed="81"/>
            <rFont val="Tahoma"/>
            <family val="2"/>
          </rPr>
          <t xml:space="preserve">
http://www.t-online.de/wirtschaft/id_64317580/kartoffelpreise-erreichen-2013-historisches-hoch-in-deutschland.html</t>
        </r>
      </text>
    </comment>
    <comment ref="M8" authorId="0" shapeId="0" xr:uid="{00000000-0006-0000-1100-000017000000}">
      <text>
        <r>
          <rPr>
            <b/>
            <sz val="9"/>
            <color indexed="81"/>
            <rFont val="Tahoma"/>
            <family val="2"/>
          </rPr>
          <t>Niels Jungbluth:</t>
        </r>
        <r>
          <rPr>
            <sz val="9"/>
            <color indexed="81"/>
            <rFont val="Tahoma"/>
            <family val="2"/>
          </rPr>
          <t xml:space="preserve">
http://www.ami-informiert.de/ami-presse/ami-presse-meldungen/meldungen-single-ansicht/article/feste-preise-fuer-maissilage.html</t>
        </r>
      </text>
    </comment>
    <comment ref="N8" authorId="0" shapeId="0" xr:uid="{00000000-0006-0000-1100-000018000000}">
      <text>
        <r>
          <rPr>
            <b/>
            <sz val="9"/>
            <color indexed="81"/>
            <rFont val="Tahoma"/>
            <family val="2"/>
          </rPr>
          <t>Niels Jungbluth:</t>
        </r>
        <r>
          <rPr>
            <sz val="9"/>
            <color indexed="81"/>
            <rFont val="Tahoma"/>
            <family val="2"/>
          </rPr>
          <t xml:space="preserve">
http://www.proplanta.de/Agrar-Nachrichten/Pflanze/Ruebenpreise-Norden_article1360046306.html</t>
        </r>
      </text>
    </comment>
    <comment ref="P8" authorId="0" shapeId="0" xr:uid="{00000000-0006-0000-1100-000019000000}">
      <text>
        <r>
          <rPr>
            <b/>
            <sz val="9"/>
            <color indexed="81"/>
            <rFont val="Tahoma"/>
            <family val="2"/>
          </rPr>
          <t>Niels Jungbluth:</t>
        </r>
        <r>
          <rPr>
            <sz val="9"/>
            <color indexed="81"/>
            <rFont val="Tahoma"/>
            <family val="2"/>
          </rPr>
          <t xml:space="preserve">
0.29 http://www.aelf-pa.bayern.de/tierhaltung/21392/rapskuchen.pdf
0.3 http://www.mara-pflanzenoele.de/files/Rapskucheninfo.pdf
0.28 http://www.landwirtschaft-mv.de/cms2/LFA_prod/LFA/content/de/Fachinformationen/Tierproduktion/Schweineproduktion/Rapskuchen/rapskuchen_schweinemast_bz.pdf</t>
        </r>
      </text>
    </comment>
    <comment ref="Q8" authorId="0" shapeId="0" xr:uid="{00000000-0006-0000-1100-00001A000000}">
      <text>
        <r>
          <rPr>
            <b/>
            <sz val="9"/>
            <color indexed="81"/>
            <rFont val="Tahoma"/>
            <family val="2"/>
          </rPr>
          <t>Niels Jungbluth:</t>
        </r>
        <r>
          <rPr>
            <sz val="9"/>
            <color indexed="81"/>
            <rFont val="Tahoma"/>
            <family val="2"/>
          </rPr>
          <t xml:space="preserve">
http://www.proplanta.de/Markt-und-Preis/Hamburger-Getreideboerse/Hamburg-Grosshandelspreise-vom-24-09-2013-Getreide-Muehlenprodukte-Futtermittel-und-Oelsaaten_notierungen1380031978.html</t>
        </r>
      </text>
    </comment>
    <comment ref="R8" authorId="0" shapeId="0" xr:uid="{00000000-0006-0000-1100-00001B000000}">
      <text>
        <r>
          <rPr>
            <b/>
            <sz val="9"/>
            <color indexed="81"/>
            <rFont val="Tahoma"/>
            <family val="2"/>
          </rPr>
          <t>Niels Jungbluth:</t>
        </r>
        <r>
          <rPr>
            <sz val="9"/>
            <color indexed="81"/>
            <rFont val="Tahoma"/>
            <family val="2"/>
          </rPr>
          <t xml:space="preserve">
http://www.bio-tec.eu/gewinnrechner.htm</t>
        </r>
      </text>
    </comment>
    <comment ref="AD8" authorId="0" shapeId="0" xr:uid="{00000000-0006-0000-1100-00001C000000}">
      <text>
        <r>
          <rPr>
            <b/>
            <sz val="9"/>
            <color indexed="81"/>
            <rFont val="Tahoma"/>
            <family val="2"/>
          </rPr>
          <t>Niels Jungbluth:</t>
        </r>
        <r>
          <rPr>
            <sz val="9"/>
            <color indexed="81"/>
            <rFont val="Tahoma"/>
            <family val="2"/>
          </rPr>
          <t xml:space="preserve">
12.2020
https://www.google.com/url?sa=t&amp;rct=j&amp;q=&amp;esrc=s&amp;source=web&amp;cd=&amp;ved=2ahUKEwi0rebPuKztAhVEDuwKHSCaB0oQFjAAegQIAhAC&amp;url=https%3A%2F%2Fwww.blw.admin.ch%2Fdam%2Fblw%2Fde%2Fdokumente%2FMarkt%2FMarktbeobachtung%2FMilch%2FMarktberichte%2Fmbm_2019_10-11.pdf.download.pdf%2FMBM_2019_10-11_d.pdf&amp;usg=AOvVaw3R60652YwWe3qwHNlU5d1K</t>
        </r>
      </text>
    </comment>
    <comment ref="AF8" authorId="0" shapeId="0" xr:uid="{285A8A69-4F5E-4742-9984-0623DD05542B}">
      <text>
        <r>
          <rPr>
            <b/>
            <sz val="9"/>
            <color indexed="81"/>
            <rFont val="Segoe UI"/>
            <family val="2"/>
          </rPr>
          <t>Niels Jungbluth:</t>
        </r>
        <r>
          <rPr>
            <sz val="9"/>
            <color indexed="81"/>
            <rFont val="Segoe UI"/>
            <family val="2"/>
          </rPr>
          <t xml:space="preserve">
WFLDB</t>
        </r>
      </text>
    </comment>
    <comment ref="C9" authorId="1" shapeId="0" xr:uid="{00000000-0006-0000-1100-00001D000000}">
      <text>
        <r>
          <rPr>
            <b/>
            <sz val="8"/>
            <color indexed="81"/>
            <rFont val="Tahoma"/>
            <family val="2"/>
          </rPr>
          <t xml:space="preserve"> Niels Jungbluth:</t>
        </r>
        <r>
          <rPr>
            <sz val="8"/>
            <color indexed="81"/>
            <rFont val="Tahoma"/>
            <family val="2"/>
          </rPr>
          <t xml:space="preserve">
Arthur: Ich habe mir leider die Quellen nicht notiert. Es handelt sich aber entweder um Landwirtschaftskammern (dabei habe ich Preise aus dem Norden und Süden von Deutschland gemittelt) oder um marktdominierende Grosshändler. Einige der Preise stammen aus Werten das Fachverbands, der diese über ganz Deutschland gemittelt hat.
Ich habe ganz bewusst die Preise der zweiten Jahreshälfte von 2013 eingesetzt, weil sie eher dem Durchschnitt entsprechen. Die Preise 2012 waren durchwegs exorbitant hoch aus verschiedenen Gründen der Marktnachfrage und der Produktion.</t>
        </r>
      </text>
    </comment>
    <comment ref="M15" authorId="0" shapeId="0" xr:uid="{00000000-0006-0000-1100-000021000000}">
      <text>
        <r>
          <rPr>
            <b/>
            <sz val="9"/>
            <color indexed="81"/>
            <rFont val="Tahoma"/>
            <family val="2"/>
          </rPr>
          <t>Niels Jungbluth:</t>
        </r>
        <r>
          <rPr>
            <sz val="9"/>
            <color indexed="81"/>
            <rFont val="Tahoma"/>
            <family val="2"/>
          </rPr>
          <t xml:space="preserve">
Wet CGF that is 20-30 000 HUF/T depending from the maize price</t>
        </r>
      </text>
    </comment>
    <comment ref="V15" authorId="0" shapeId="0" xr:uid="{00000000-0006-0000-1100-000022000000}">
      <text>
        <r>
          <rPr>
            <b/>
            <sz val="9"/>
            <color indexed="81"/>
            <rFont val="Tahoma"/>
            <family val="2"/>
          </rPr>
          <t>Niels Jungbluth:</t>
        </r>
        <r>
          <rPr>
            <sz val="9"/>
            <color indexed="81"/>
            <rFont val="Tahoma"/>
            <family val="2"/>
          </rPr>
          <t xml:space="preserve">
 vinasse 10-15 000 HUF/T the animal feedstock price</t>
        </r>
      </text>
    </comment>
    <comment ref="W15" authorId="0" shapeId="0" xr:uid="{00000000-0006-0000-1100-000023000000}">
      <text>
        <r>
          <rPr>
            <b/>
            <sz val="9"/>
            <color indexed="81"/>
            <rFont val="Tahoma"/>
            <family val="2"/>
          </rPr>
          <t>Niels Jungbluth:</t>
        </r>
        <r>
          <rPr>
            <sz val="9"/>
            <color indexed="81"/>
            <rFont val="Tahoma"/>
            <family val="2"/>
          </rPr>
          <t xml:space="preserve">
CIE-declaration-pulp-prices</t>
        </r>
      </text>
    </comment>
    <comment ref="AE15" authorId="0" shapeId="0" xr:uid="{00000000-0006-0000-1100-000024000000}">
      <text>
        <r>
          <rPr>
            <b/>
            <sz val="9"/>
            <color indexed="81"/>
            <rFont val="Tahoma"/>
            <family val="2"/>
          </rPr>
          <t>Niels Jungbluth:</t>
        </r>
        <r>
          <rPr>
            <sz val="9"/>
            <color indexed="81"/>
            <rFont val="Tahoma"/>
            <family val="2"/>
          </rPr>
          <t xml:space="preserve">
Whey typically it’s sold on transportation cost</t>
        </r>
      </text>
    </comment>
    <comment ref="S19" authorId="0" shapeId="0" xr:uid="{00000000-0006-0000-1100-000025000000}">
      <text>
        <r>
          <rPr>
            <b/>
            <sz val="9"/>
            <color indexed="81"/>
            <rFont val="Tahoma"/>
            <family val="2"/>
          </rPr>
          <t>Niels Jungbluth:</t>
        </r>
        <r>
          <rPr>
            <sz val="9"/>
            <color indexed="81"/>
            <rFont val="Tahoma"/>
            <family val="2"/>
          </rPr>
          <t xml:space="preserve">
feed unit?</t>
        </r>
      </text>
    </comment>
    <comment ref="A31" authorId="0" shapeId="0" xr:uid="{00000000-0006-0000-1100-000028000000}">
      <text>
        <r>
          <rPr>
            <b/>
            <sz val="9"/>
            <color indexed="81"/>
            <rFont val="Tahoma"/>
            <family val="2"/>
          </rPr>
          <t>Niels Jungbluth:</t>
        </r>
        <r>
          <rPr>
            <sz val="9"/>
            <color indexed="81"/>
            <rFont val="Tahoma"/>
            <family val="2"/>
          </rPr>
          <t xml:space="preserve">
In LCIAbg gebraucht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Niels Jungbluth</author>
    <author xml:space="preserve"> Niels Jungbluth</author>
  </authors>
  <commentList>
    <comment ref="K4" authorId="0" shapeId="0" xr:uid="{00000000-0006-0000-1400-000001000000}">
      <text>
        <r>
          <rPr>
            <b/>
            <sz val="9"/>
            <color indexed="81"/>
            <rFont val="Segoe UI"/>
            <family val="2"/>
          </rPr>
          <t>Niels Jungbluth:</t>
        </r>
        <r>
          <rPr>
            <sz val="9"/>
            <color indexed="81"/>
            <rFont val="Segoe UI"/>
            <family val="2"/>
          </rPr>
          <t xml:space="preserve">
Menge</t>
        </r>
      </text>
    </comment>
    <comment ref="K6" authorId="0" shapeId="0" xr:uid="{00000000-0006-0000-1400-000002000000}">
      <text>
        <r>
          <rPr>
            <b/>
            <sz val="9"/>
            <color indexed="81"/>
            <rFont val="Segoe UI"/>
            <family val="2"/>
          </rPr>
          <t>Niels Jungbluth:</t>
        </r>
        <r>
          <rPr>
            <sz val="9"/>
            <color indexed="81"/>
            <rFont val="Segoe UI"/>
            <family val="2"/>
          </rPr>
          <t xml:space="preserve">
Einnahme</t>
        </r>
      </text>
    </comment>
    <comment ref="K7" authorId="0" shapeId="0" xr:uid="{00000000-0006-0000-1400-000003000000}">
      <text>
        <r>
          <rPr>
            <b/>
            <sz val="9"/>
            <color indexed="81"/>
            <rFont val="Segoe UI"/>
            <family val="2"/>
          </rPr>
          <t>Niels Jungbluth:</t>
        </r>
        <r>
          <rPr>
            <sz val="9"/>
            <color indexed="81"/>
            <rFont val="Segoe UI"/>
            <family val="2"/>
          </rPr>
          <t xml:space="preserve">
Ausgaben</t>
        </r>
      </text>
    </comment>
    <comment ref="K8" authorId="0" shapeId="0" xr:uid="{00000000-0006-0000-1400-000004000000}">
      <text>
        <r>
          <rPr>
            <b/>
            <sz val="9"/>
            <color indexed="81"/>
            <rFont val="Segoe UI"/>
            <family val="2"/>
          </rPr>
          <t>Niels Jungbluth:</t>
        </r>
        <r>
          <rPr>
            <sz val="9"/>
            <color indexed="81"/>
            <rFont val="Segoe UI"/>
            <family val="2"/>
          </rPr>
          <t xml:space="preserve">
Einnahme in CHF</t>
        </r>
      </text>
    </comment>
    <comment ref="J11" authorId="1" shapeId="0" xr:uid="{00000000-0006-0000-1400-000005000000}">
      <text>
        <r>
          <rPr>
            <b/>
            <sz val="8"/>
            <color indexed="81"/>
            <rFont val="Tahoma"/>
            <family val="2"/>
          </rPr>
          <t xml:space="preserve"> Niels Jungbluth:</t>
        </r>
        <r>
          <rPr>
            <sz val="8"/>
            <color indexed="81"/>
            <rFont val="Tahoma"/>
            <family val="2"/>
          </rPr>
          <t xml:space="preserve">
Anteil Grüngut für neuen Kompost
</t>
        </r>
      </text>
    </comment>
    <comment ref="L34" authorId="0" shapeId="0" xr:uid="{00000000-0006-0000-1400-000006000000}">
      <text>
        <r>
          <rPr>
            <b/>
            <sz val="9"/>
            <color indexed="81"/>
            <rFont val="Tahoma"/>
            <family val="2"/>
          </rPr>
          <t>Niels Jungbluth:</t>
        </r>
        <r>
          <rPr>
            <sz val="9"/>
            <color indexed="81"/>
            <rFont val="Tahoma"/>
            <family val="2"/>
          </rPr>
          <t xml:space="preserve">
Huge change in KBOB data due to update of Doka</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Niels Jungbluth</author>
  </authors>
  <commentList>
    <comment ref="G14" authorId="0" shapeId="0" xr:uid="{00000000-0006-0000-0500-000001000000}">
      <text>
        <r>
          <rPr>
            <b/>
            <sz val="8"/>
            <color indexed="81"/>
            <rFont val="Tahoma"/>
            <family val="2"/>
          </rPr>
          <t>Niels Jungbluth:</t>
        </r>
        <r>
          <rPr>
            <sz val="8"/>
            <color indexed="81"/>
            <rFont val="Tahoma"/>
            <family val="2"/>
          </rPr>
          <t xml:space="preserve">
Eigenverbrauch muss über die Eigenproduktion abgedeckt werden. Strombezug nur bei Heizungsanlagen)</t>
        </r>
      </text>
    </comment>
    <comment ref="G15" authorId="0" shapeId="0" xr:uid="{00000000-0006-0000-0500-000002000000}">
      <text>
        <r>
          <rPr>
            <b/>
            <sz val="8"/>
            <color indexed="81"/>
            <rFont val="Tahoma"/>
            <family val="2"/>
          </rPr>
          <t>Niels Jungbluth:</t>
        </r>
        <r>
          <rPr>
            <sz val="8"/>
            <color indexed="81"/>
            <rFont val="Tahoma"/>
            <family val="2"/>
          </rPr>
          <t xml:space="preserve">
Eigenverbrauch muss über die Eigenproduktion abgedeckt werden. Strombezug nur bei Heizungsanlagen)</t>
        </r>
      </text>
    </comment>
    <comment ref="G21" authorId="0" shapeId="0" xr:uid="{00000000-0006-0000-0500-000003000000}">
      <text>
        <r>
          <rPr>
            <b/>
            <sz val="8"/>
            <color indexed="81"/>
            <rFont val="Tahoma"/>
            <family val="2"/>
          </rPr>
          <t>Niels Jungbluth:</t>
        </r>
        <r>
          <rPr>
            <sz val="8"/>
            <color indexed="81"/>
            <rFont val="Tahoma"/>
            <family val="2"/>
          </rPr>
          <t xml:space="preserve">
Heizung kann keinen Strom produzieren.</t>
        </r>
      </text>
    </comment>
    <comment ref="G22" authorId="0" shapeId="0" xr:uid="{00000000-0006-0000-0500-000004000000}">
      <text>
        <r>
          <rPr>
            <b/>
            <sz val="8"/>
            <color indexed="81"/>
            <rFont val="Tahoma"/>
            <family val="2"/>
          </rPr>
          <t>Niels Jungbluth:</t>
        </r>
        <r>
          <rPr>
            <sz val="8"/>
            <color indexed="81"/>
            <rFont val="Tahoma"/>
            <family val="2"/>
          </rPr>
          <t xml:space="preserve">
Grenzwert LRV 400 mg/Nm3 eingehalten? Wert eingegeben?</t>
        </r>
      </text>
    </comment>
    <comment ref="G26" authorId="0" shapeId="0" xr:uid="{00000000-0006-0000-0500-000005000000}">
      <text>
        <r>
          <rPr>
            <b/>
            <sz val="8"/>
            <color indexed="81"/>
            <rFont val="Tahoma"/>
            <family val="2"/>
          </rPr>
          <t>Niels Jungbluth:</t>
        </r>
        <r>
          <rPr>
            <sz val="8"/>
            <color indexed="81"/>
            <rFont val="Tahoma"/>
            <family val="2"/>
          </rPr>
          <t xml:space="preserve">
Nettoproduktion nicht grösser als Bruttoproduktion minus Eigenverbrauch?</t>
        </r>
      </text>
    </comment>
    <comment ref="G27" authorId="0" shapeId="0" xr:uid="{00000000-0006-0000-0500-000006000000}">
      <text>
        <r>
          <rPr>
            <b/>
            <sz val="8"/>
            <color indexed="81"/>
            <rFont val="Tahoma"/>
            <family val="2"/>
          </rPr>
          <t>Niels Jungbluth:</t>
        </r>
        <r>
          <rPr>
            <sz val="8"/>
            <color indexed="81"/>
            <rFont val="Tahoma"/>
            <family val="2"/>
          </rPr>
          <t xml:space="preserve">
Lokales Kriterium Verluste kleiner als 20%</t>
        </r>
      </text>
    </comment>
    <comment ref="G30" authorId="0" shapeId="0" xr:uid="{00000000-0006-0000-0500-000007000000}">
      <text>
        <r>
          <rPr>
            <b/>
            <sz val="8"/>
            <color indexed="81"/>
            <rFont val="Tahoma"/>
            <family val="2"/>
          </rPr>
          <t>Niels Jungbluth:</t>
        </r>
        <r>
          <rPr>
            <sz val="8"/>
            <color indexed="81"/>
            <rFont val="Tahoma"/>
            <family val="2"/>
          </rPr>
          <t xml:space="preserve">
Wirkungsgrad &gt; 80% für BHKW bzw. &gt; 90% für Heizung.</t>
        </r>
      </text>
    </comment>
    <comment ref="G32" authorId="0" shapeId="0" xr:uid="{00000000-0006-0000-0500-000008000000}">
      <text>
        <r>
          <rPr>
            <b/>
            <sz val="8"/>
            <color indexed="81"/>
            <rFont val="Tahoma"/>
            <family val="2"/>
          </rPr>
          <t>Niels Jungbluth:</t>
        </r>
        <r>
          <rPr>
            <sz val="8"/>
            <color indexed="81"/>
            <rFont val="Tahoma"/>
            <family val="2"/>
          </rPr>
          <t xml:space="preserve">
Globales Kriterium erreicht?</t>
        </r>
      </text>
    </comment>
    <comment ref="G33" authorId="0" shapeId="0" xr:uid="{00000000-0006-0000-0500-000009000000}">
      <text>
        <r>
          <rPr>
            <b/>
            <sz val="8"/>
            <color indexed="81"/>
            <rFont val="Tahoma"/>
            <family val="2"/>
          </rPr>
          <t>Niels Jungbluth:</t>
        </r>
        <r>
          <rPr>
            <sz val="8"/>
            <color indexed="81"/>
            <rFont val="Tahoma"/>
            <family val="2"/>
          </rPr>
          <t xml:space="preserve">
Alle Prüfungen bestanden?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Niels Jungbluth</author>
    <author>Jasmin Annaheim</author>
  </authors>
  <commentList>
    <comment ref="AM12" authorId="0" shapeId="0" xr:uid="{00000000-0006-0000-0C00-000001000000}">
      <text>
        <r>
          <rPr>
            <b/>
            <sz val="9"/>
            <color indexed="81"/>
            <rFont val="Tahoma"/>
            <family val="2"/>
          </rPr>
          <t>Niels Jungbluth:</t>
        </r>
        <r>
          <rPr>
            <sz val="9"/>
            <color indexed="81"/>
            <rFont val="Tahoma"/>
            <family val="2"/>
          </rPr>
          <t xml:space="preserve">
Sollte eigentlich low-voltage sein</t>
        </r>
      </text>
    </comment>
    <comment ref="A72" authorId="1" shapeId="0" xr:uid="{00000000-0006-0000-0C00-000002000000}">
      <text>
        <r>
          <rPr>
            <b/>
            <sz val="9"/>
            <color indexed="81"/>
            <rFont val="Segoe UI"/>
            <family val="2"/>
          </rPr>
          <t>Jasmin Annaheim:</t>
        </r>
        <r>
          <rPr>
            <sz val="9"/>
            <color indexed="81"/>
            <rFont val="Segoe UI"/>
            <family val="2"/>
          </rPr>
          <t xml:space="preserve">
2 Mal das gleiche?
Nj: das ist möglich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Niels Jungbluth</author>
  </authors>
  <commentList>
    <comment ref="N4" authorId="0" shapeId="0" xr:uid="{00000000-0006-0000-1300-000001000000}">
      <text>
        <r>
          <rPr>
            <b/>
            <sz val="8"/>
            <color indexed="81"/>
            <rFont val="Tahoma"/>
            <family val="2"/>
          </rPr>
          <t>Niels Jungbluth:</t>
        </r>
        <r>
          <rPr>
            <sz val="8"/>
            <color indexed="81"/>
            <rFont val="Tahoma"/>
            <family val="2"/>
          </rPr>
          <t xml:space="preserve">
kg/MJ Eingabewert für Emission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Niels Jungbluth</author>
  </authors>
  <commentList>
    <comment ref="C43" authorId="0" shapeId="0" xr:uid="{00000000-0006-0000-0800-000001000000}">
      <text>
        <r>
          <rPr>
            <b/>
            <sz val="9"/>
            <color indexed="81"/>
            <rFont val="Tahoma"/>
            <family val="2"/>
          </rPr>
          <t>Niels Jungbluth:</t>
        </r>
        <r>
          <rPr>
            <sz val="9"/>
            <color indexed="81"/>
            <rFont val="Tahoma"/>
            <family val="2"/>
          </rPr>
          <t xml:space="preserve">
Muss überprüft werden mit neuen Werten von Dinkel</t>
        </r>
      </text>
    </comment>
    <comment ref="C51" authorId="0" shapeId="0" xr:uid="{00000000-0006-0000-0800-000002000000}">
      <text>
        <r>
          <rPr>
            <b/>
            <sz val="8"/>
            <color indexed="81"/>
            <rFont val="Tahoma"/>
            <family val="2"/>
          </rPr>
          <t>Niels Jungbluth:</t>
        </r>
        <r>
          <rPr>
            <sz val="8"/>
            <color indexed="81"/>
            <rFont val="Tahoma"/>
            <family val="2"/>
          </rPr>
          <t xml:space="preserve">
geändert in v7.1</t>
        </r>
      </text>
    </comment>
    <comment ref="D61" authorId="0" shapeId="0" xr:uid="{00000000-0006-0000-0800-000003000000}">
      <text>
        <r>
          <rPr>
            <b/>
            <sz val="8"/>
            <color indexed="81"/>
            <rFont val="Tahoma"/>
            <family val="2"/>
          </rPr>
          <t>Niels Jungbluth:</t>
        </r>
        <r>
          <rPr>
            <sz val="8"/>
            <color indexed="81"/>
            <rFont val="Tahoma"/>
            <family val="2"/>
          </rPr>
          <t xml:space="preserve">
Edelmann 2001:34</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<sst xmlns="http://schemas.openxmlformats.org/spreadsheetml/2006/main" count="5797" uniqueCount="2471">
  <si>
    <t>Eco-indicator</t>
  </si>
  <si>
    <t>Summe</t>
  </si>
  <si>
    <t>Pt</t>
  </si>
  <si>
    <t>Natural gas, burned in boiler condensing modulating &gt;100kW/RER U</t>
  </si>
  <si>
    <t>Light fuel oil, burned in industrial furnace 1MW, non-modulating/CH U</t>
  </si>
  <si>
    <t>Transport, lorry 20-28t, fleet average/CH U</t>
  </si>
  <si>
    <t>biogas combustion, in cogen with biogas engine/MJ/CH U</t>
  </si>
  <si>
    <t>biogas, vented/CH U</t>
  </si>
  <si>
    <t>methane, 96 vol-%, purification and distribution/kWh/CH U</t>
  </si>
  <si>
    <t>transport, district heat network, average/CH/I U</t>
  </si>
  <si>
    <t>Anaerobic digestion plant, sewage sludge/CH/I U</t>
  </si>
  <si>
    <t>Deutsch</t>
  </si>
  <si>
    <t>Français</t>
  </si>
  <si>
    <t>English</t>
  </si>
  <si>
    <t>Italian</t>
  </si>
  <si>
    <t>Text</t>
  </si>
  <si>
    <t>Eingabe:</t>
  </si>
  <si>
    <t>Resultate:</t>
  </si>
  <si>
    <t>Résultats:</t>
  </si>
  <si>
    <t>pro kWh Strom</t>
  </si>
  <si>
    <t>Keine Prüfung möglich</t>
  </si>
  <si>
    <t>Contrôle impossible</t>
  </si>
  <si>
    <t>EI'99-aggregated, Hierarchist</t>
  </si>
  <si>
    <t>Bedarf erneuerbarer energetischer Ressourcen</t>
  </si>
  <si>
    <t>Bedarf nichterneuerbarer energetischer Ressourcen</t>
  </si>
  <si>
    <t>Durchschnittsdistanz für Co-Substrat Transport mit Lkw</t>
  </si>
  <si>
    <t>Umrechnungsfaktor</t>
  </si>
  <si>
    <t>Eingabe 1</t>
  </si>
  <si>
    <t>Eingabe 2</t>
  </si>
  <si>
    <t>Zeile</t>
  </si>
  <si>
    <t>Transporte</t>
  </si>
  <si>
    <t>Grenzwert Strom</t>
  </si>
  <si>
    <t>Grenzwert Wärme</t>
  </si>
  <si>
    <t>Grenzwert Methan</t>
  </si>
  <si>
    <t>Infrastruktur</t>
  </si>
  <si>
    <t>Total</t>
  </si>
  <si>
    <t>Referenz</t>
  </si>
  <si>
    <t>Anlagenname und Referenzzeitraum</t>
  </si>
  <si>
    <t>naturemade Star Kriterium nicht erfüllt</t>
  </si>
  <si>
    <t>Treibhauseffekt 100a 2007</t>
  </si>
  <si>
    <t>IPCC GWP 100a</t>
  </si>
  <si>
    <t>kg CO2 eq</t>
  </si>
  <si>
    <t>Cumulative Energy Demand, differenziert V1.04 /  CED, non-renewable</t>
  </si>
  <si>
    <t>Non renewable, fossil</t>
  </si>
  <si>
    <t>Non-renewable, nuclear</t>
  </si>
  <si>
    <t>Non-renewable, land transformation</t>
  </si>
  <si>
    <t>MJ-eq</t>
  </si>
  <si>
    <t>kg CO2-eq</t>
  </si>
  <si>
    <t>Pkt</t>
  </si>
  <si>
    <t>Umweltbelastungspunkte 2006</t>
  </si>
  <si>
    <t>Méthode de la saturation écologique 2006</t>
  </si>
  <si>
    <t>Ecological Scarcity 2006 V1.02 /  Ecological scarcity 2006</t>
  </si>
  <si>
    <t>Emission into air</t>
  </si>
  <si>
    <t>Emission into surface water</t>
  </si>
  <si>
    <t>Emission into ground water</t>
  </si>
  <si>
    <t>Emission into top soil</t>
  </si>
  <si>
    <t>Energy resources</t>
  </si>
  <si>
    <t>Natural resources</t>
  </si>
  <si>
    <t>Deposited waste</t>
  </si>
  <si>
    <t>threshold value, methane/kWh/CH U</t>
  </si>
  <si>
    <t>threshold value, heat/kWh/CH U</t>
  </si>
  <si>
    <t>threshold value, electricity/kWh/CH U</t>
  </si>
  <si>
    <t>threshold value, cooling/kWh/CH U</t>
  </si>
  <si>
    <t>reference value, manure/kg/CH U</t>
  </si>
  <si>
    <t>reference value, co-substrate disposal/CHF/CH U</t>
  </si>
  <si>
    <t>Faulschlamm in Zementwerk (entwässert)</t>
  </si>
  <si>
    <t>Globales naturemade Star Kriterium erfüllt</t>
  </si>
  <si>
    <t>Umweltdeklaration</t>
  </si>
  <si>
    <t>eco-indicator 99, (H,A)</t>
  </si>
  <si>
    <t>Organische Substanz (OS)</t>
  </si>
  <si>
    <t>TS</t>
  </si>
  <si>
    <t>0S</t>
  </si>
  <si>
    <t>Yield</t>
  </si>
  <si>
    <t>C Abbau aus Lager</t>
  </si>
  <si>
    <t>t/a</t>
  </si>
  <si>
    <t>kg</t>
  </si>
  <si>
    <t>kg/a</t>
  </si>
  <si>
    <t>% FS</t>
  </si>
  <si>
    <t>min</t>
  </si>
  <si>
    <t>max</t>
  </si>
  <si>
    <t>% TS</t>
  </si>
  <si>
    <t>% *)</t>
  </si>
  <si>
    <t>wenig Ammonium. Ein Teil des Stickstoffs wird in der Bakterienbiomasse gebunden, ein Teil bleibt im unvergorenen Rest:</t>
  </si>
  <si>
    <t>wenig Stickstoff, wenig Gas: weniger Ammonium wird freigesetzt</t>
  </si>
  <si>
    <t>sehr viel Stickstoff, hoher Abbau: (sehr) viel wird freigesetzt (Eiweiss bei Fleisch und Blut)</t>
  </si>
  <si>
    <t>Fermentergrösse</t>
  </si>
  <si>
    <t>Magermotor</t>
  </si>
  <si>
    <t>Ausgangsmaterialien</t>
  </si>
  <si>
    <t>matériel</t>
  </si>
  <si>
    <t>Landwirtschaft</t>
  </si>
  <si>
    <t>Agriculture</t>
  </si>
  <si>
    <t>Grassilage</t>
  </si>
  <si>
    <t>Ensilage d'herbe</t>
  </si>
  <si>
    <t>Maisstroh</t>
  </si>
  <si>
    <t>Paille de maïs</t>
  </si>
  <si>
    <t>Rübenblatt</t>
  </si>
  <si>
    <t>Zuckerrübe</t>
  </si>
  <si>
    <t>Betteraves sucrières</t>
  </si>
  <si>
    <t>Masser- und Gehaltsrübe</t>
  </si>
  <si>
    <t>Seigle (ensilage plante entière)</t>
  </si>
  <si>
    <t>Maissilage</t>
  </si>
  <si>
    <t>Ensilage de maïs</t>
  </si>
  <si>
    <t>Apfeltrester</t>
  </si>
  <si>
    <t>Traubentrester</t>
  </si>
  <si>
    <t>Biertreber siliert</t>
  </si>
  <si>
    <t>Melasse</t>
  </si>
  <si>
    <t>Molke</t>
  </si>
  <si>
    <t>Gemüse, Rüstabfälle</t>
  </si>
  <si>
    <t>Fett aus Fettabscheider</t>
  </si>
  <si>
    <t>Panseninhalt</t>
  </si>
  <si>
    <t>Blutmehl, Tiermehl</t>
  </si>
  <si>
    <t>Heilkräuterrückstand</t>
  </si>
  <si>
    <r>
      <t>N</t>
    </r>
    <r>
      <rPr>
        <b/>
        <vertAlign val="subscript"/>
        <sz val="10"/>
        <rFont val="Arial"/>
        <family val="2"/>
      </rPr>
      <t>tot</t>
    </r>
  </si>
  <si>
    <r>
      <t>N</t>
    </r>
    <r>
      <rPr>
        <vertAlign val="subscript"/>
        <sz val="10"/>
        <rFont val="Arial"/>
        <family val="2"/>
      </rPr>
      <t>tot</t>
    </r>
  </si>
  <si>
    <r>
      <t>m</t>
    </r>
    <r>
      <rPr>
        <vertAlign val="superscript"/>
        <sz val="10"/>
        <rFont val="Arial"/>
        <family val="2"/>
      </rPr>
      <t>3</t>
    </r>
    <r>
      <rPr>
        <sz val="10"/>
        <rFont val="Arial"/>
        <family val="2"/>
      </rPr>
      <t>/tOS</t>
    </r>
  </si>
  <si>
    <t>Kläranlage</t>
  </si>
  <si>
    <t>naturemade Star Prüfung: Energieprodukte aus Biogasanlagen</t>
  </si>
  <si>
    <t>Landwirtschaft, Güllefass</t>
  </si>
  <si>
    <t>Landwirtschaft, Schleppschlauch</t>
  </si>
  <si>
    <t>jungbluth@esu-services.ch</t>
  </si>
  <si>
    <t>Frischklärschlamm, nass</t>
  </si>
  <si>
    <t>Faulschlamm, nass</t>
  </si>
  <si>
    <t>Faulschlamm, entwässert</t>
  </si>
  <si>
    <t xml:space="preserve">Baum-, Reben-, Strauchschnitt </t>
  </si>
  <si>
    <t>Mähgut, (allg., Golfplätze, Naturschutzgebiete, Ried, etc.)</t>
  </si>
  <si>
    <t>Mähgut Strassenböschungen, -ränder</t>
  </si>
  <si>
    <t>Rasenschnitt, Grasschnitt, frisches Grüngut</t>
  </si>
  <si>
    <t>Backabfälle, Süsswarenabfälle, Teig- und Mehlreste</t>
  </si>
  <si>
    <t>Fehl- und Testchargen aus Lebensmittelindustrie (pflanzlich)</t>
  </si>
  <si>
    <t>Filterrückstände aus Lebens- und Genussmittelherstellung</t>
  </si>
  <si>
    <t>Speiseölabfälle, Speisefettabfälle, Rückstände und Schlämme aus Öl- und Fettabscheidern (nicht aufbereitet)</t>
  </si>
  <si>
    <t>Früchteabfälle (Orangen, Zitronen, Bananen, Ananas, etc.)</t>
  </si>
  <si>
    <t>Glucose, Zuckerwasser, Fruchtsäfte</t>
  </si>
  <si>
    <t>Hefe</t>
  </si>
  <si>
    <t>Kaffeesatz, Abgänge aus Produktion und Zubereitung von Kaffee</t>
  </si>
  <si>
    <t>Kakaoschalen</t>
  </si>
  <si>
    <t>Käseabfall</t>
  </si>
  <si>
    <t>Material aus Wasch-, Reinigungs-, Schäl-, Zentrifugier- und Abtrennprozessen (pflanzlich)</t>
  </si>
  <si>
    <t>Milch- und Fermentationsserum, Penicilinmilch, Magermilch, Sauermolke, Milchpermeat  (allg. Rückstände aus Milchverarbeitung)</t>
  </si>
  <si>
    <t>Mist aus Tierhaltungen (Schlachthöfe, Zirkus, Zoo, Reitställe ausserhalb LZ)</t>
  </si>
  <si>
    <t>Rechengut, Schwemmgut, Abfischgut</t>
  </si>
  <si>
    <t>Rübenpressschnitzel</t>
  </si>
  <si>
    <t>Rückstände aus der Herstellung von Nahrungsmittelkonserven (pflanzlich)</t>
  </si>
  <si>
    <t>Schlämme aus Lebensmittelproduktion (pflanzlich)</t>
  </si>
  <si>
    <t>Sortier- und Rüstabgang (Pilze, Gemüse, Früchte, etc.)</t>
  </si>
  <si>
    <t>Speisereste aus Gastronomiebetrieben</t>
  </si>
  <si>
    <t>Tabak, Tabakstaub, -grus, -rippen, -schlamm</t>
  </si>
  <si>
    <t>Teetreber, Teesatz, Abgänge aus der Produktion und Zubereitung von Tee</t>
  </si>
  <si>
    <t>Vinasse</t>
  </si>
  <si>
    <t>Waschwasser aus Biodieselproduktion</t>
  </si>
  <si>
    <t>Wasserpflanzen, Schilf</t>
  </si>
  <si>
    <t>Würzmittelrückstände, Würze-Treber</t>
  </si>
  <si>
    <t>Blut, Fettabscheiderrückstände, Fischrückstände, Fleischabfälle</t>
  </si>
  <si>
    <t>Flotatschlämme (Schlachthof)</t>
  </si>
  <si>
    <t>Harn, Häute, Felle, Borsten, Federn, Haare (rein)</t>
  </si>
  <si>
    <t>Magen-Darminhalt (Schwein)</t>
  </si>
  <si>
    <t>Wollrückstände, -staub (unbehandelt)</t>
  </si>
  <si>
    <t>Biertreber, Malztreber, Hopfentreber (sowie deren -Keime, -Staub, -Trub und -Schlamm)</t>
  </si>
  <si>
    <t>Fruchtwasser, Zuckerwasser</t>
  </si>
  <si>
    <t>Gärgut aus Nahrungsmittelindustrie</t>
  </si>
  <si>
    <t>Obst,- Getreide-, Kartoffelschlempen, allg. Rückstande aus Destillerieprozess</t>
  </si>
  <si>
    <t>Rapsextraktionsschrot, Rapskuchen</t>
  </si>
  <si>
    <t>Weintrub, Trappen, Schlamm aus der Weinbereitung</t>
  </si>
  <si>
    <t>Zichorien-Treber, Cereal-Treber</t>
  </si>
  <si>
    <t>Roggensilage (Ganzpflanzensilage)</t>
  </si>
  <si>
    <t>Kartoffeln</t>
  </si>
  <si>
    <t>Substrate</t>
  </si>
  <si>
    <t>Enteisungswasser</t>
  </si>
  <si>
    <t>Hausklärschlamm</t>
  </si>
  <si>
    <t>Zurück zur Prüfung</t>
  </si>
  <si>
    <t>Keine Behandlung</t>
  </si>
  <si>
    <t>Menge</t>
  </si>
  <si>
    <t>Einfache Distanz Anlage - Ausbringung/Entsorgung</t>
  </si>
  <si>
    <t>Rottetrommel, geheizt</t>
  </si>
  <si>
    <t>Gasmotor (Kerzenzündung)</t>
  </si>
  <si>
    <t>Zündstrahlmotor</t>
  </si>
  <si>
    <t>Schadstoff</t>
  </si>
  <si>
    <t>CH4</t>
  </si>
  <si>
    <t>NH3</t>
  </si>
  <si>
    <t>N2O</t>
  </si>
  <si>
    <t>H2S</t>
  </si>
  <si>
    <t>Verfahren</t>
  </si>
  <si>
    <t>Bezug</t>
  </si>
  <si>
    <t>Quelle</t>
  </si>
  <si>
    <t>t Grüngut</t>
  </si>
  <si>
    <t>Schleiss 1999</t>
  </si>
  <si>
    <t>Vergärung, VN, Biofilter</t>
  </si>
  <si>
    <t>Schleiss 2005</t>
  </si>
  <si>
    <t>Vergärung, Landwirtschaft (Rottetrommel oder ohne NK)</t>
  </si>
  <si>
    <t>Edelmann 2006</t>
  </si>
  <si>
    <t>Vergärung, Landwirtschaft (Kompostmiete)</t>
  </si>
  <si>
    <t>Vergärung, Biofilter für NH3</t>
  </si>
  <si>
    <t>Dinkel 2008</t>
  </si>
  <si>
    <t>Kompost, KO</t>
  </si>
  <si>
    <t>Kompost</t>
  </si>
  <si>
    <t>Kompost, gekapselt, Biofilter für NH3</t>
  </si>
  <si>
    <t>Mietenkompostierung</t>
  </si>
  <si>
    <t>C ges/N-Geh</t>
  </si>
  <si>
    <t>2-3.6%</t>
  </si>
  <si>
    <t>m3 Gülle</t>
  </si>
  <si>
    <t>ca. 1.8% von OS</t>
  </si>
  <si>
    <t>50-75% von N</t>
  </si>
  <si>
    <t>Güllefass</t>
  </si>
  <si>
    <t>Offen</t>
  </si>
  <si>
    <t>LW, Rottetrommel</t>
  </si>
  <si>
    <t>keine NK</t>
  </si>
  <si>
    <t>Edelmann 2008</t>
  </si>
  <si>
    <t>Edelmann 2009</t>
  </si>
  <si>
    <t>Langevin 2008</t>
  </si>
  <si>
    <t>Vergärung, Landwirtschaft, nicht abgedeckt</t>
  </si>
  <si>
    <t>Vergärung, Landwirtschaft, abgedeckt</t>
  </si>
  <si>
    <t>Jungbluth 2007</t>
  </si>
  <si>
    <t>Vergärung, Landwirtschaft, abgedeckt, Co-Substrat</t>
  </si>
  <si>
    <t>Edelmann 2001</t>
  </si>
  <si>
    <t>Vergärung, Landwirtschaft, nicht abgedeckt, Mehremission</t>
  </si>
  <si>
    <t>Nachkompostierung, Biofilter</t>
  </si>
  <si>
    <t>LW, Kompostmiete</t>
  </si>
  <si>
    <t>LW, Schleppschlauch</t>
  </si>
  <si>
    <t>Vergärung, VG, einstufig, geschlossene Kompostierung</t>
  </si>
  <si>
    <t>Vergärung, VO, zweistufig, offene Kompostierung</t>
  </si>
  <si>
    <t>Kompost, KG</t>
  </si>
  <si>
    <t>Vergärung, VN, einstufig, geschlossene Nachrotte</t>
  </si>
  <si>
    <t>Vergärung, Kompogas</t>
  </si>
  <si>
    <t>VN</t>
  </si>
  <si>
    <t>Vergärung, VG</t>
  </si>
  <si>
    <t>Vergärung, VO</t>
  </si>
  <si>
    <t>LW, Einspritzung</t>
  </si>
  <si>
    <t>LW, Lager abgedeckt</t>
  </si>
  <si>
    <t>NMVOC</t>
  </si>
  <si>
    <t>Biofilter</t>
  </si>
  <si>
    <t>Cuhls 2008</t>
  </si>
  <si>
    <t>Vergärung, kein Biofilter</t>
  </si>
  <si>
    <t>NOx</t>
  </si>
  <si>
    <t>Anteil Stallhaltung</t>
  </si>
  <si>
    <t>Entwässerung, Faulschlamm</t>
  </si>
  <si>
    <t>offene Kompostierung, Miete bzw. Nachrotte</t>
  </si>
  <si>
    <t>Geschlossenes Gärgutlager/Nachgärung</t>
  </si>
  <si>
    <t>Offenes Gärgutlager/Nachgärung</t>
  </si>
  <si>
    <t>Nährstoffaufbereitung (Ultrafiltration/Umkehrosmose)</t>
  </si>
  <si>
    <t>Reduktionsfaktoren gegenüber Standardvariante</t>
  </si>
  <si>
    <t>Um wieviel gehen Emissionen hoch bzw. runter gegenüber dem Standardmodell der zentralen Kompostierung?</t>
  </si>
  <si>
    <t>Kompostierung</t>
  </si>
  <si>
    <t>0% heisst gleiche Emissionen wie zentrale Kompostierung</t>
  </si>
  <si>
    <t>BG Yield</t>
  </si>
  <si>
    <t>Reduktionsfaktoren Ausbringung</t>
  </si>
  <si>
    <t>kg/t</t>
  </si>
  <si>
    <t>Substratspez.</t>
  </si>
  <si>
    <t>Gülle</t>
  </si>
  <si>
    <t>Faktor Behandlung Kompost für geprüfte Anlage</t>
  </si>
  <si>
    <t>Faktor Behandlung Gülle für geprüfte Anlage</t>
  </si>
  <si>
    <t>N2O Anlage</t>
  </si>
  <si>
    <r>
      <t>NH</t>
    </r>
    <r>
      <rPr>
        <vertAlign val="subscript"/>
        <sz val="10"/>
        <rFont val="Arial"/>
        <family val="2"/>
      </rPr>
      <t>4</t>
    </r>
    <r>
      <rPr>
        <sz val="10"/>
        <rFont val="Arial"/>
        <family val="2"/>
      </rPr>
      <t xml:space="preserve"> Lagerung</t>
    </r>
  </si>
  <si>
    <r>
      <t>NH</t>
    </r>
    <r>
      <rPr>
        <vertAlign val="subscript"/>
        <sz val="10"/>
        <rFont val="Arial"/>
        <family val="2"/>
      </rPr>
      <t>4</t>
    </r>
    <r>
      <rPr>
        <sz val="10"/>
        <rFont val="Arial"/>
        <family val="2"/>
      </rPr>
      <t xml:space="preserve"> Ausbringung, Anlage</t>
    </r>
  </si>
  <si>
    <t>N2O Referenz</t>
  </si>
  <si>
    <t>CH4 Referenz</t>
  </si>
  <si>
    <t>CH4 Anlage</t>
  </si>
  <si>
    <t>Rape oil, at oil mill/CH S</t>
  </si>
  <si>
    <t>Wheat straw IP, at farm/CH S</t>
  </si>
  <si>
    <t>Syrup, from sugar beet molasses, at distillery/CH S</t>
  </si>
  <si>
    <t>Glycerine, from rape oil, at esterification plant/CH S</t>
  </si>
  <si>
    <t>Grass silage IP, at farm/CH S</t>
  </si>
  <si>
    <t>Hay intensive IP, at farm/CH S</t>
  </si>
  <si>
    <t>Potatoes IP, at farm/CH S</t>
  </si>
  <si>
    <t>Clover seed IP, at farm/CH S</t>
  </si>
  <si>
    <t>Silage maize IP, at farm/CH S</t>
  </si>
  <si>
    <t>Molasses, from sugar beet, at sugar refinery/CH S</t>
  </si>
  <si>
    <t>Rape meal, at oil mill/CH S</t>
  </si>
  <si>
    <t>Rye grains IP, at farm/CH S</t>
  </si>
  <si>
    <t>Vegetable oil, from waste cooking oil, at plant/CH S</t>
  </si>
  <si>
    <t>Vinasse, at fermentation plant/CH S</t>
  </si>
  <si>
    <t>Ecosystem Quality</t>
  </si>
  <si>
    <t>Resources</t>
  </si>
  <si>
    <t>Entsorgung</t>
  </si>
  <si>
    <t>km</t>
  </si>
  <si>
    <t>Grenzwert Kälte</t>
  </si>
  <si>
    <t>Direkte Emissionen</t>
  </si>
  <si>
    <t>Frischmasse (FM)</t>
  </si>
  <si>
    <t>Gesamtinputmenge für Anlage</t>
  </si>
  <si>
    <t>Energieeigenverbrauch der Anlage (Systemgrenzen beachten)</t>
  </si>
  <si>
    <t>Kompost, Gartenbau</t>
  </si>
  <si>
    <t>Landwirtschaft, Mistzetter</t>
  </si>
  <si>
    <t>Landwirtschaft, Einspritzung, Schleppschuh</t>
  </si>
  <si>
    <t>Landwirtschaft, Einspritzung, Cultan (Impfen)</t>
  </si>
  <si>
    <t>reference value, digested matter, solid/kg/CH U</t>
  </si>
  <si>
    <t>reference value, digested matter, liquid/kg/CH U</t>
  </si>
  <si>
    <t>reference value, raw sewage sludge treatment/kg/CH U</t>
  </si>
  <si>
    <t>naturemade Prüfwert</t>
  </si>
  <si>
    <t>Referenz, Gärgut fest</t>
  </si>
  <si>
    <t>Offenes Lager</t>
  </si>
  <si>
    <t>Referenz, Gärgut flüssig</t>
  </si>
  <si>
    <t>Referenz, flüssig</t>
  </si>
  <si>
    <t>Referenz, fest</t>
  </si>
  <si>
    <t>Anlagentyp und Fermentergrösse</t>
  </si>
  <si>
    <t>oil combustion, in cogen with ignition gas engine/MJ/CH U</t>
  </si>
  <si>
    <t>Diesel, burned in building machine/GLO U</t>
  </si>
  <si>
    <t>Transport, tractor and trailer/CH U</t>
  </si>
  <si>
    <t>biogas combustion, in cogen with ignition gas engine/MJ/CH U</t>
  </si>
  <si>
    <t>biogas combustion, in cogen 200kWe lean burn/MJ/CH U</t>
  </si>
  <si>
    <t>Fremdenergiebedarf</t>
  </si>
  <si>
    <t>Prüfungen</t>
  </si>
  <si>
    <t>points</t>
  </si>
  <si>
    <t>CHF/kg</t>
  </si>
  <si>
    <t>direkte Emissionen</t>
  </si>
  <si>
    <t>application, digested matter, on agricultural land/kg/CH U</t>
  </si>
  <si>
    <t>application, digested matter, liquid, on agricultural land/m3/CH U</t>
  </si>
  <si>
    <t>alt SM</t>
  </si>
  <si>
    <t>unspecifed</t>
  </si>
  <si>
    <t>mix</t>
  </si>
  <si>
    <t>neu SM, agri</t>
  </si>
  <si>
    <t>Müllereiabfälle, Getreideabgang, Ölsaatrückstand</t>
  </si>
  <si>
    <t>GVE Faktor</t>
  </si>
  <si>
    <t>Anzahl (GVE)</t>
  </si>
  <si>
    <t>Gülle (m3/Stück)</t>
  </si>
  <si>
    <t>Mist (t/Stück)</t>
  </si>
  <si>
    <t>Gülle (m3/a)</t>
  </si>
  <si>
    <t>Abwasser (m3/a)</t>
  </si>
  <si>
    <t>Gülle verdünnt (m3/a)</t>
  </si>
  <si>
    <t>Mist (t/a)</t>
  </si>
  <si>
    <t>Total Hofdünger (t/a)</t>
  </si>
  <si>
    <t>m3 CH4/ m3 Gülle</t>
  </si>
  <si>
    <t>m3 CH4/ t Mist</t>
  </si>
  <si>
    <t>m3 CH4/a aus Gülle</t>
  </si>
  <si>
    <t>m3 CH4/a aus Mist</t>
  </si>
  <si>
    <t>Milchkuh</t>
  </si>
  <si>
    <t>Mutterkuh (schwer)</t>
  </si>
  <si>
    <t>Jungvieh &lt; 1-jährig</t>
  </si>
  <si>
    <t>Jungvieh 1- 2 jährig</t>
  </si>
  <si>
    <t>Stiere und Rinder &gt; 2 jährig</t>
  </si>
  <si>
    <t>Mastkalb</t>
  </si>
  <si>
    <t>Rindviehmast intensiv 65-520 kg</t>
  </si>
  <si>
    <t>Pferde über 3-jährig</t>
  </si>
  <si>
    <t>Mutterschafe oder Ziegen</t>
  </si>
  <si>
    <t>Zuchtschweine</t>
  </si>
  <si>
    <t>Mastschweine / Remonten 25-100 kg</t>
  </si>
  <si>
    <t>Zuchteber</t>
  </si>
  <si>
    <t>Legehennen</t>
  </si>
  <si>
    <t>Mastpoulet</t>
  </si>
  <si>
    <t>Zahlen gültig für Aufstallungssystem nach Wirz Taschenbuch: Laufstallmist + viel Vollgülle (10-40% eingestreut) pro Jahr</t>
  </si>
  <si>
    <t>Biogaserträge eher konservativ gerechnet: Biogas aus Nachgärbehälter nicht eingerechnet! Die CH4-Ertragszahlen sind abgeglichen mit Ökostrom Schweiz und Genesys.</t>
  </si>
  <si>
    <t>Gülleverdünnung ist mit 1:1 gerechnet (Abwasser aus Stallreinigung und Tierpflege, Platzwasser…)</t>
  </si>
  <si>
    <t>-</t>
  </si>
  <si>
    <t>%</t>
  </si>
  <si>
    <t>Anzahl Tiere</t>
  </si>
  <si>
    <t>keine Ausbringung</t>
  </si>
  <si>
    <t>Eingabe 3</t>
  </si>
  <si>
    <t>Eingabe 4</t>
  </si>
  <si>
    <t>eingekaufte Substrate</t>
  </si>
  <si>
    <t>a</t>
  </si>
  <si>
    <t>Anteil</t>
  </si>
  <si>
    <t>Mikrogasturbine</t>
  </si>
  <si>
    <t>Zündölverbrauch (10 kWh/kg)</t>
  </si>
  <si>
    <t>Total Biogasnutzung, Brutto</t>
  </si>
  <si>
    <t/>
  </si>
  <si>
    <t>www.naturemade.ch</t>
  </si>
  <si>
    <t>Annahme, dass bei höherer Gasproduktion auch prozentual mehr Stickstoff frei wird; bei Mist geht vor der Gärung schon einiges verloren;</t>
  </si>
  <si>
    <t>Referenz Güllelager, 80% abgedeckt</t>
  </si>
  <si>
    <t>Outputs der Anlage</t>
  </si>
  <si>
    <t>Wasserverbrauch</t>
  </si>
  <si>
    <t>Heizölverbrauch</t>
  </si>
  <si>
    <t>Erdgasverbrauch</t>
  </si>
  <si>
    <t>Referenz, Brennstoff, Zementwerk</t>
  </si>
  <si>
    <t>Verbrennung, Zementwerk, 92% TS</t>
  </si>
  <si>
    <t>reference value, fuel from digester sludge/kg/CH U</t>
  </si>
  <si>
    <t>Einkauf</t>
  </si>
  <si>
    <t>Kläranlage, Rückführung</t>
  </si>
  <si>
    <t>Treatment, sewage, to wastewater treatment, class 4/CH U</t>
  </si>
  <si>
    <t>biogas combustion, in micro gas turbine 100kWe/MJ/CH U</t>
  </si>
  <si>
    <t>Diese Zahlen müssen noch kontrolliert werden. Bisher wurde der Durchschnitt verwendet.</t>
  </si>
  <si>
    <t>emission, NOx/CH U</t>
  </si>
  <si>
    <t>Verbrennung, KVA, 32% TS</t>
  </si>
  <si>
    <t>digester sewage sludge, in cement plant/kg/CH U</t>
  </si>
  <si>
    <t>Klärschlamm und ähnliche Substrate</t>
  </si>
  <si>
    <t>Strom: Verkauf und Verbrauch ausserhalb der Anlage</t>
  </si>
  <si>
    <t>Nahwärmenutzung: Verkauf, Verbrauch i.d. Nähe der Anlage</t>
  </si>
  <si>
    <t>Eigenverbrauch der Anlage aus Bruttostromproduktion</t>
  </si>
  <si>
    <t>Gesamtproduktion Strom, Brutto</t>
  </si>
  <si>
    <t>*) Die Literaturwerte beziehen sich auf das Ausgangsmaterial. Hier wird geschätzt, wie viel Ammonium nach dem Abbau vorhanden sein wird.</t>
  </si>
  <si>
    <t>Es wurde berücksichtigt, dass nicht alle Substrate gleich gut abbaubar sind und dass daher mehr oder weniger Ammonium frei wird. (vgl. auch Edelmann Ökobilanz S. 34, S. 67 ff)</t>
  </si>
  <si>
    <t>Gülle und Mist haben schon vor der Gärung einen gewissen Ammoniumanteil, da sie schon durch den Verdauungstrakt gingen. Pflanzliche Substrate hingegen haben vor der Gärung noch</t>
  </si>
  <si>
    <t>wenig Stickstoff, viel Gas: sehr wenig wird freigesetzt; viel in Biomasse! (Fett)</t>
  </si>
  <si>
    <t>Champignonsubstrat, Speisepilzsubstrat</t>
  </si>
  <si>
    <t>Rückstände aus der Kartoffel-, Mais- oder Reisstärkeherstellung</t>
  </si>
  <si>
    <t>Einspeisung in einen Wärmeverbund / Verteilverluste Fernwärmenetz</t>
  </si>
  <si>
    <t>Gesamtmenge Energieprodukte</t>
  </si>
  <si>
    <t>Art der Verbrennung</t>
  </si>
  <si>
    <t>Valeur-limite chaleur</t>
  </si>
  <si>
    <t>Valeur-limite méthane</t>
  </si>
  <si>
    <t>Substrats achetés</t>
  </si>
  <si>
    <t>Transports</t>
  </si>
  <si>
    <t>Déclaration environnementale</t>
  </si>
  <si>
    <t>Infrastructure</t>
  </si>
  <si>
    <t>Consommation de gaz naturel</t>
  </si>
  <si>
    <t>Émissions directes</t>
  </si>
  <si>
    <t>Quantité</t>
  </si>
  <si>
    <t>v2.01</t>
  </si>
  <si>
    <t>Total Wärmeverkauf (nach Abzug Verteilverluste)</t>
  </si>
  <si>
    <t>Entwässerung, Faulschlamm 32% TS</t>
  </si>
  <si>
    <t>IPCC 2007 GWP 100a V1.02</t>
  </si>
  <si>
    <t>Verein für umweltgerechte Energie (VUE), naturemade Geschäftsstelle</t>
  </si>
  <si>
    <t>Boues digérées dans les cimenteries</t>
  </si>
  <si>
    <t>Nombre d'animaux</t>
  </si>
  <si>
    <t>Taille du digesteur</t>
  </si>
  <si>
    <t>Consommation de diesel d'allumage (10 kWh/kg)</t>
  </si>
  <si>
    <t>Station d'épuration</t>
  </si>
  <si>
    <t>Consommation d'eau</t>
  </si>
  <si>
    <t xml:space="preserve">Aucun traitement </t>
  </si>
  <si>
    <t>Tambour de compostage chauffé</t>
  </si>
  <si>
    <t>Usine de traitement, recyclage</t>
  </si>
  <si>
    <t>Type de combustion</t>
  </si>
  <si>
    <t>Moteur à essence (bougies d'allumage)</t>
  </si>
  <si>
    <t xml:space="preserve">Moteur à mélange pauvre </t>
  </si>
  <si>
    <t>Moteur à injection assistée</t>
  </si>
  <si>
    <t>Référence pour le compost</t>
  </si>
  <si>
    <t>Part à l'intérieur</t>
  </si>
  <si>
    <t>Compost pour jardinage</t>
  </si>
  <si>
    <t>Agriculture, épandage du fumier</t>
  </si>
  <si>
    <t>Besoin total en produits énergétiques</t>
  </si>
  <si>
    <t>Nom de l'installation et période de référence:</t>
  </si>
  <si>
    <t>Vache laitière</t>
  </si>
  <si>
    <t>Vache allaitante (difficile)</t>
  </si>
  <si>
    <t>Jeune bovin &lt; 1 an</t>
  </si>
  <si>
    <t>Jeune bovin 1-2 ans</t>
  </si>
  <si>
    <t>Taureaux et vaches &gt;2 ans</t>
  </si>
  <si>
    <t>Chevaux &gt;3ans</t>
  </si>
  <si>
    <t>Brebis ou chèvre</t>
  </si>
  <si>
    <t>Elevage de porcs</t>
  </si>
  <si>
    <t>Verrats reproducteurs</t>
  </si>
  <si>
    <t>Poules pondeuses</t>
  </si>
  <si>
    <t>Marc de pommes</t>
  </si>
  <si>
    <t>Arbre, vigne, arbuste de coupe</t>
  </si>
  <si>
    <t>Ensilage de drèche de brasserie</t>
  </si>
  <si>
    <t xml:space="preserve">Substrat de champignons </t>
  </si>
  <si>
    <t>Eau de dégivrage</t>
  </si>
  <si>
    <t>Lots d'essai ou défectueux de l'industrie alimentaire (légumes)</t>
  </si>
  <si>
    <t>Farine de sang, farine animale</t>
  </si>
  <si>
    <t>Graisse provenant du filtre à graisse</t>
  </si>
  <si>
    <t>Résidus filtrés de la production d'aliments et de boissons</t>
  </si>
  <si>
    <t>Boues de flottation</t>
  </si>
  <si>
    <t>Eau fruitée, eau sucrée</t>
  </si>
  <si>
    <t>Digestat provenant de l'industrie alimentaire</t>
  </si>
  <si>
    <t>Epluchures de légumes</t>
  </si>
  <si>
    <t>Glucose, eau sucré, jus de fruits</t>
  </si>
  <si>
    <t>Levure</t>
  </si>
  <si>
    <t>Résidus de plantes médicinales</t>
  </si>
  <si>
    <t>Marc de café (production et préparation du café exclus)</t>
  </si>
  <si>
    <t>Ecorce de cacao</t>
  </si>
  <si>
    <t>Contenu d'intestins de porc</t>
  </si>
  <si>
    <t>Récolte de fauche en bord de route (remblais)</t>
  </si>
  <si>
    <t>Récolte de fauche (gnrl: terrains de golf, réserves naturelles, marais etc.)</t>
  </si>
  <si>
    <t>Mélasse</t>
  </si>
  <si>
    <t>Mélasse écrasée</t>
  </si>
  <si>
    <t>Petit-lait</t>
  </si>
  <si>
    <t>Résidus de la distillation (fruits, céréales, pommes de terre)</t>
  </si>
  <si>
    <t>Contenu de panse</t>
  </si>
  <si>
    <t>Tourteau de colza, tourteau de pression</t>
  </si>
  <si>
    <t>Tonte de pelouse, fauche, végétaux verts frais</t>
  </si>
  <si>
    <t>Feuilles de betteraves</t>
  </si>
  <si>
    <t>Betteraves</t>
  </si>
  <si>
    <t>Pulpe de betterave sucrière</t>
  </si>
  <si>
    <t>Résidus de la production d'aliments en conserve (végétal)</t>
  </si>
  <si>
    <t>Résidus de la production d'amidon de pommes de terre, de maïs ou de riz</t>
  </si>
  <si>
    <t>Boues provenant de la production d'aliments (végétal)</t>
  </si>
  <si>
    <t>Marc de thé, prélèvements sur le lieu de production et de préparation du thé</t>
  </si>
  <si>
    <t xml:space="preserve">Marc de raisin </t>
  </si>
  <si>
    <t>Eau de lavage de la production de biodiesel</t>
  </si>
  <si>
    <t>Plantes aquatiques, roseaux</t>
  </si>
  <si>
    <t>Lie de vin, boues de la vinification</t>
  </si>
  <si>
    <t>Résidus de condiments</t>
  </si>
  <si>
    <t>Marc de chicorée, Marc de céréales</t>
  </si>
  <si>
    <t>Boues d'épuration fraîches, humides</t>
  </si>
  <si>
    <t>Boues digérées, humides</t>
  </si>
  <si>
    <t>Boues digérées, égouttées</t>
  </si>
  <si>
    <t>Boues d'épuration domestiques</t>
  </si>
  <si>
    <t>Retour à tester</t>
  </si>
  <si>
    <t>Consommation de mazout</t>
  </si>
  <si>
    <t>Courant: vente et consommation hors de l'installation</t>
  </si>
  <si>
    <t>par kWh de courant</t>
  </si>
  <si>
    <t>déchets de minoteries, résidus de graines oléagineuses</t>
  </si>
  <si>
    <t>Matière fraîche (MF)</t>
  </si>
  <si>
    <t>Consommations d'énergie additionnelle</t>
  </si>
  <si>
    <t>Valeur-limite courant</t>
  </si>
  <si>
    <t xml:space="preserve">Valeur de contrôle naturemade </t>
  </si>
  <si>
    <t>Valeur-limite froid</t>
  </si>
  <si>
    <t>Consommation propre de l'installation</t>
  </si>
  <si>
    <t>Production totale de courant, brut</t>
  </si>
  <si>
    <t>Distance simple installation - épandage/traitement des déchets</t>
  </si>
  <si>
    <t>Référence pour les émissions directes</t>
  </si>
  <si>
    <t>Référence pour le traitement des déchets</t>
  </si>
  <si>
    <t>Référence pour le dépôt de lisier</t>
  </si>
  <si>
    <t>Référence pour les boues d'épuration fraîches</t>
  </si>
  <si>
    <t>Agriculture, épandeur de lisier par projection</t>
  </si>
  <si>
    <t>Référence pour le carburant, en cimenterie</t>
  </si>
  <si>
    <t>Veau engraissé</t>
  </si>
  <si>
    <t>Bœuf engraissé (intensif 65-520 kg)</t>
  </si>
  <si>
    <t>Porc engraissé (25-100 kg)</t>
  </si>
  <si>
    <t>Poulet engraissé</t>
  </si>
  <si>
    <t>Drèche de brasserie (Marc de malt, d'houblon dont les germes, la poussière et les boues et les lies)</t>
  </si>
  <si>
    <t>Sang, résidus de filtre à graisse, résidus de poissons, déchets de viande</t>
  </si>
  <si>
    <t>Fumier provenant des animaux d'élevage (cirque, zoo, centre équestre)</t>
  </si>
  <si>
    <t>Déchets d'huiles et de graisses alimentaires, résidus et boues provenant des filtres à graisse et à huile (non transformé)</t>
  </si>
  <si>
    <t>Tabac, poussière de tabac, tiges de tabac, boues de tabac</t>
  </si>
  <si>
    <t xml:space="preserve">Projections, débris </t>
  </si>
  <si>
    <t>Pommes de terres</t>
  </si>
  <si>
    <t xml:space="preserve">Urine, cuirs, peaux, crins, plumes, cheveux </t>
  </si>
  <si>
    <t>Résidus et poussière de laine</t>
  </si>
  <si>
    <t>Déchets après tri, épluchures (champignons, légume, fruits etc.)</t>
  </si>
  <si>
    <t>geschlossene Lagerung/Kompostierung mit Biofilter</t>
  </si>
  <si>
    <t>geschlossene Kompostierung/Lagerung mit Biofilter</t>
  </si>
  <si>
    <t>Glycerine, from vegetable oil, at esterification plant/CH U</t>
  </si>
  <si>
    <t>offene Kompostierung, Lagerung, Miete bzw. Nachrotte</t>
  </si>
  <si>
    <t>Schätzung NH3 nach Abbau</t>
  </si>
  <si>
    <t>NJ</t>
  </si>
  <si>
    <t>%NH4 an Ntot</t>
  </si>
  <si>
    <t>Vergärung, Lagerung, Mehremission</t>
  </si>
  <si>
    <t>Vergärung, Ausbringung, Mehremission</t>
  </si>
  <si>
    <r>
      <t>NH</t>
    </r>
    <r>
      <rPr>
        <b/>
        <vertAlign val="subscript"/>
        <sz val="10"/>
        <color theme="0" tint="-0.34998626667073579"/>
        <rFont val="Arial"/>
        <family val="2"/>
      </rPr>
      <t xml:space="preserve">4 </t>
    </r>
    <r>
      <rPr>
        <b/>
        <sz val="10"/>
        <color theme="0" tint="-0.34998626667073579"/>
        <rFont val="Arial"/>
        <family val="2"/>
      </rPr>
      <t>an TS</t>
    </r>
  </si>
  <si>
    <r>
      <t>NH</t>
    </r>
    <r>
      <rPr>
        <vertAlign val="subscript"/>
        <sz val="10"/>
        <color theme="0" tint="-0.34998626667073579"/>
        <rFont val="Arial"/>
        <family val="2"/>
      </rPr>
      <t>4</t>
    </r>
  </si>
  <si>
    <r>
      <t>%N</t>
    </r>
    <r>
      <rPr>
        <vertAlign val="subscript"/>
        <sz val="10"/>
        <color theme="0" tint="-0.34998626667073579"/>
        <rFont val="Arial"/>
        <family val="2"/>
      </rPr>
      <t>tot</t>
    </r>
  </si>
  <si>
    <r>
      <t>NH</t>
    </r>
    <r>
      <rPr>
        <vertAlign val="subscript"/>
        <sz val="10"/>
        <rFont val="Arial"/>
        <family val="2"/>
      </rPr>
      <t>4</t>
    </r>
    <r>
      <rPr>
        <sz val="10"/>
        <rFont val="Arial"/>
        <family val="2"/>
      </rPr>
      <t xml:space="preserve"> Referenz, Lagerung</t>
    </r>
  </si>
  <si>
    <t>Reduktionsfaktoren Lager und  Behandlung</t>
  </si>
  <si>
    <t>Orange Werte im Datensatz zur Referenzanlage</t>
  </si>
  <si>
    <t>CH4 Produktion</t>
  </si>
  <si>
    <t>v2.1</t>
  </si>
  <si>
    <t xml:space="preserve">Method: </t>
  </si>
  <si>
    <t xml:space="preserve">Indicator: </t>
  </si>
  <si>
    <t>Single score</t>
  </si>
  <si>
    <t xml:space="preserve">Skip categories: </t>
  </si>
  <si>
    <t xml:space="preserve">Exclude infrastructure processes: </t>
  </si>
  <si>
    <t>No</t>
  </si>
  <si>
    <t xml:space="preserve">Exclude long-term emissions: </t>
  </si>
  <si>
    <t>Yes</t>
  </si>
  <si>
    <t xml:space="preserve">Per impact category: </t>
  </si>
  <si>
    <t>Damage category</t>
  </si>
  <si>
    <t>Unit</t>
  </si>
  <si>
    <t>v2.2+</t>
  </si>
  <si>
    <t>http://www.esu-services.ch/projects/naturemade/</t>
  </si>
  <si>
    <t>Characterisation</t>
  </si>
  <si>
    <t>Impact category</t>
  </si>
  <si>
    <t>50% Gülle und Mist plus Co-Substrat</t>
  </si>
  <si>
    <t>Verbrennung</t>
  </si>
  <si>
    <t>Hauptzweck</t>
  </si>
  <si>
    <t>Energie</t>
  </si>
  <si>
    <t>Vorklärung</t>
  </si>
  <si>
    <t>Einleitung in Gewässer bzw. kommunale Kläranlage</t>
  </si>
  <si>
    <t>Abwasser aus einem Produktionsprozess</t>
  </si>
  <si>
    <t>Abfallbehandlung</t>
  </si>
  <si>
    <t>Direkte Ausbringung</t>
  </si>
  <si>
    <t>Referenz Co-Produkte</t>
  </si>
  <si>
    <t>Infrastruktur und Standort</t>
  </si>
  <si>
    <t>Klärschlamm</t>
  </si>
  <si>
    <t>Hauptsubstrat</t>
  </si>
  <si>
    <t>Verwendung Gärrest</t>
  </si>
  <si>
    <t>Hofdünger, evtl. Kompost</t>
  </si>
  <si>
    <t>Andere Bezeichnungen</t>
  </si>
  <si>
    <t>Kompogas</t>
  </si>
  <si>
    <t>Inkl. Vor- und Nachbehandlung, in Industriegebiet</t>
  </si>
  <si>
    <t>Teilweise Vor- und Nachbehandlung, beim Bauernhof in Landwirtschaftszone</t>
  </si>
  <si>
    <t>Hauptsächlich Gärbehälter, bei kommunaler Kläranlage</t>
  </si>
  <si>
    <t>Hauptsächlich Gärbehälter, Industriebetrieb in dem Abwässer anfallen</t>
  </si>
  <si>
    <t>%, kg/t</t>
  </si>
  <si>
    <t>Grünroggen</t>
  </si>
  <si>
    <t>Kleegras</t>
  </si>
  <si>
    <t>Wiese intensiv</t>
  </si>
  <si>
    <t>Ferkel 10-35 kg</t>
  </si>
  <si>
    <t>Strombezug aus CH Netz</t>
  </si>
  <si>
    <t>Strombezug aus DE Netz</t>
  </si>
  <si>
    <t>Consommation d'électricité du réseau DE</t>
  </si>
  <si>
    <t>Allokation nach Exergy-Gehalt (ecoinvent)</t>
  </si>
  <si>
    <t>Keine</t>
  </si>
  <si>
    <t>Kontrolle</t>
  </si>
  <si>
    <t xml:space="preserve">Calculation: </t>
  </si>
  <si>
    <t>Compare</t>
  </si>
  <si>
    <t xml:space="preserve">Results: </t>
  </si>
  <si>
    <t>Impact assessment</t>
  </si>
  <si>
    <t xml:space="preserve">Product 1: </t>
  </si>
  <si>
    <t xml:space="preserve">Product 2: </t>
  </si>
  <si>
    <t xml:space="preserve">Product 3: </t>
  </si>
  <si>
    <t xml:space="preserve">Product 4: </t>
  </si>
  <si>
    <t xml:space="preserve">Product 5: </t>
  </si>
  <si>
    <t xml:space="preserve">Product 6: </t>
  </si>
  <si>
    <t xml:space="preserve">Product 7: </t>
  </si>
  <si>
    <t xml:space="preserve">Product 8: </t>
  </si>
  <si>
    <t xml:space="preserve">Product 9: </t>
  </si>
  <si>
    <t xml:space="preserve">Product 10: </t>
  </si>
  <si>
    <t xml:space="preserve">Product 11: </t>
  </si>
  <si>
    <t xml:space="preserve">Product 12: </t>
  </si>
  <si>
    <t xml:space="preserve">Product 13: </t>
  </si>
  <si>
    <t xml:space="preserve">Product 14: </t>
  </si>
  <si>
    <t xml:space="preserve">Product 15: </t>
  </si>
  <si>
    <t xml:space="preserve">Product 16: </t>
  </si>
  <si>
    <t xml:space="preserve">Product 17: </t>
  </si>
  <si>
    <t xml:space="preserve">Product 18: </t>
  </si>
  <si>
    <t xml:space="preserve">Product 19: </t>
  </si>
  <si>
    <t xml:space="preserve">Product 20: </t>
  </si>
  <si>
    <t>Eco-indicator 99 (H) V2.09 / Europe EI 99 H/A</t>
  </si>
  <si>
    <t xml:space="preserve">Unit: </t>
  </si>
  <si>
    <t xml:space="preserve">Sorted on item: </t>
  </si>
  <si>
    <t xml:space="preserve">Sort order: </t>
  </si>
  <si>
    <t>Ascending</t>
  </si>
  <si>
    <t>Grass from meadow intensive IP, at field/CH U</t>
  </si>
  <si>
    <t>Ecological Scarcity 2006 V1.06 / Ecological scarcity 2006</t>
  </si>
  <si>
    <t>kPt</t>
  </si>
  <si>
    <t>Cumulative Energy Demand, differenziert V1.04 / CED, non-renewable</t>
  </si>
  <si>
    <t>MJ</t>
  </si>
  <si>
    <t>1 kWh threshold value, methane/kWh/CH U (of project 208 naturemade KWM)</t>
  </si>
  <si>
    <t>1 kWh electricity, medium voltage, at grid/kWh/CH U (of project Ecoinvent unit processes)</t>
  </si>
  <si>
    <t>1 kWh electricity, medium voltage, at grid/kWh/DE U (of project Ecoinvent unit processes)</t>
  </si>
  <si>
    <t>1 kWh Light fuel oil, burned in industrial furnace 1MW, non-modulating/CH U (of project Ecoinvent unit processes)</t>
  </si>
  <si>
    <t>1 kWh oil combustion, in cogen with ignition gas engine/MJ/CH U (of project 208 naturemade KWM)</t>
  </si>
  <si>
    <t>1 kWh Diesel, burned in building machine/GLO U (of project Ecoinvent unit processes)</t>
  </si>
  <si>
    <t>1 kWh Natural gas, burned in boiler condensing modulating &gt;100kW/RER U (of project Ecoinvent unit processes)</t>
  </si>
  <si>
    <t>1 kWh biogas, vented/CH U (of project 208 naturemade KWM)</t>
  </si>
  <si>
    <t>1 kWh methane, 96 vol-%, purification and distribution/kWh/CH U (of project 208 naturemade KWM)</t>
  </si>
  <si>
    <t>1 kWh biogas combustion, in cogen with biogas engine/MJ/CH U (of project 208 naturemade KWM)</t>
  </si>
  <si>
    <t>1 kWh biogas combustion, in cogen with ignition gas engine/MJ/CH U (of project 208 naturemade KWM)</t>
  </si>
  <si>
    <t>1 kWh biogas combustion, in cogen 200kWe lean burn/MJ/CH U (of project 208 naturemade KWM)</t>
  </si>
  <si>
    <t>1 kWh biogas combustion, in micro gas turbine 100kWe/MJ/CH U (of project 208 naturemade KWM)</t>
  </si>
  <si>
    <t>1 kg emission, NOx/CH U (of project 208 naturemade KWM)</t>
  </si>
  <si>
    <t>1 kWh transport, district heat network, average/CH/I U (of project 208 naturemade KWM)</t>
  </si>
  <si>
    <t>1 ton application, digested matter, on agricultural land/kg/CH U (of project 208 naturemade KWM)</t>
  </si>
  <si>
    <t xml:space="preserve">Product 21: </t>
  </si>
  <si>
    <t>1 m3 application, digested matter, liquid, on agricultural land/m3/CH U (of project 208 naturemade KWM)</t>
  </si>
  <si>
    <t xml:space="preserve">Product 22: </t>
  </si>
  <si>
    <t xml:space="preserve">Product 23: </t>
  </si>
  <si>
    <t>1 ton digester sewage sludge, in cement plant/kg/CH U (of project 208 naturemade KWM)</t>
  </si>
  <si>
    <t xml:space="preserve">Product 24: </t>
  </si>
  <si>
    <t>electricity, medium voltage, at grid/kWh/CH U</t>
  </si>
  <si>
    <t>electricity, medium voltage, at grid/kWh/DE U</t>
  </si>
  <si>
    <t>Verbrennung in KVA oder Zementwerk</t>
  </si>
  <si>
    <t>Direkte Verbrennung von Kat. 1, keine Referenz für andere Inputs</t>
  </si>
  <si>
    <t>Schlachtabfälle Kategorie 1</t>
  </si>
  <si>
    <t>Energiepflanzen-Silage</t>
  </si>
  <si>
    <t>Mais</t>
  </si>
  <si>
    <t>Schlachtabfälle, Tierkadaver, Kategorie 1, (auch in kleinen Anteilen)</t>
  </si>
  <si>
    <t>Grüngut, Verschiedene Substrate aus Haushalten und Betrieben</t>
  </si>
  <si>
    <t>Gastroabfälle, Schlachtabfälle Kat. 2 und 3</t>
  </si>
  <si>
    <t>Industrielle Vergärung</t>
  </si>
  <si>
    <t>Energiepflanzen (Mais, Grassilage, Grünroggen, GPS, etc.)</t>
  </si>
  <si>
    <t>Energiepflanzen, Nicht zur naturemade Prüfung zugelassen</t>
  </si>
  <si>
    <t>Wiese extensiv</t>
  </si>
  <si>
    <t>CH4 
content</t>
  </si>
  <si>
    <t>CH4 
Yield</t>
  </si>
  <si>
    <r>
      <t>m</t>
    </r>
    <r>
      <rPr>
        <vertAlign val="superscript"/>
        <sz val="9"/>
        <rFont val="Arial"/>
        <family val="2"/>
      </rPr>
      <t>3</t>
    </r>
    <r>
      <rPr>
        <sz val="9"/>
        <color theme="1"/>
        <rFont val="Calibri"/>
        <family val="2"/>
        <scheme val="minor"/>
      </rPr>
      <t>/tOS</t>
    </r>
  </si>
  <si>
    <t>Landwrtschaft / Substrate:      Ökostrom Schweiz, A. Wellinger 2012</t>
  </si>
  <si>
    <t>Klärschlamm:                           eigene Messwerte aus zahlreichen Messungen, A. Wellinger 2012</t>
  </si>
  <si>
    <t>Ergänzungen M. Stucki, 2011</t>
  </si>
  <si>
    <t>Default Wert, Durchschnitt der Substrate</t>
  </si>
  <si>
    <t>methane, 96 vol-%, combustion, in combined cycle plant, best technology/MJ/CH U</t>
  </si>
  <si>
    <t>methane, 96 vol-%, combustion, in gas turbine/MJ/CH U</t>
  </si>
  <si>
    <t>methane, 96 vol-%, combustion, in cogen 500kWe lean burn/MJ/CH U</t>
  </si>
  <si>
    <t>methane, 96 vol-%, combustion, in boiler condensing modulating &gt;100kW/MJ/CH U</t>
  </si>
  <si>
    <t>methane, 96 vol-%, combustion, in boiler condensing modulating &lt;100kW/MJ/CH U</t>
  </si>
  <si>
    <t>methane, 96 vol-%, wood fluidized bed gasification, at consumer/kWh/CH U</t>
  </si>
  <si>
    <t>methane, 96 vol-%, anaerobic digestion plant, sewage sludge, at consumer/kWh/CH U</t>
  </si>
  <si>
    <t>methane, 96 vol-%, anaerobic digestion plant, biowaste, at consumer/kWh/CH U</t>
  </si>
  <si>
    <t>methane, 96 vol-%, anaerobic digestion plant, agriculture, at consumer/kWh/CH U</t>
  </si>
  <si>
    <t>methane, 96 vol-%, naturemade star mix, at consumer/kWh/CH U</t>
  </si>
  <si>
    <t>Never</t>
  </si>
  <si>
    <t>1 kWh methane, 96 vol-%, combustion, in combined cycle plant, best technology/MJ/CH U (of project 208 naturemade KWM)</t>
  </si>
  <si>
    <t>1 kWh methane, 96 vol-%, combustion, in gas turbine/MJ/CH U (of project 208 naturemade KWM)</t>
  </si>
  <si>
    <t>1 kWh methane, 96 vol-%, combustion, in cogen 500kWe lean burn/MJ/CH U (of project 208 naturemade KWM)</t>
  </si>
  <si>
    <t>1 kWh methane, 96 vol-%, combustion, in boiler condensing modulating &gt;100kW/MJ/CH U (of project 208 naturemade KWM)</t>
  </si>
  <si>
    <t>1 kWh methane, 96 vol-%, combustion, in boiler condensing modulating &lt;100kW/MJ/CH U (of project 208 naturemade KWM)</t>
  </si>
  <si>
    <t>1 kWh methane, 96 vol-%, wood fluidized bed gasification, at consumer/kWh/CH U (of project 208 naturemade KWM)</t>
  </si>
  <si>
    <t>1 kWh methane, 96 vol-%, anaerobic digestion plant, sewage sludge, at consumer/kWh/CH U (of project 208 naturemade KWM)</t>
  </si>
  <si>
    <t>1 kWh methane, 96 vol-%, anaerobic digestion plant, biowaste, at consumer/kWh/CH U (of project 208 naturemade KWM)</t>
  </si>
  <si>
    <t>1 kWh methane, 96 vol-%, anaerobic digestion plant, agriculture, at consumer/kWh/CH U (of project 208 naturemade KWM)</t>
  </si>
  <si>
    <t>1 kWh methane, 96 vol-%, naturemade star mix, at consumer/kWh/CH U (of project 208 naturemade KWM)</t>
  </si>
  <si>
    <t>Last Update: 2012 11 22</t>
  </si>
  <si>
    <t>Stickoxide NOx als NO2 aus Verbrennung</t>
  </si>
  <si>
    <t>Niederspannung</t>
  </si>
  <si>
    <t>Mittelspannung</t>
  </si>
  <si>
    <t>Nein</t>
  </si>
  <si>
    <t>Ja</t>
  </si>
  <si>
    <t>Dieselverbrauch (12 kWh/kg)</t>
  </si>
  <si>
    <t>Gas- und Dampfturbinen-Kraftwerk</t>
  </si>
  <si>
    <t>Gasturbine</t>
  </si>
  <si>
    <t>BHKW 500kWel Mager</t>
  </si>
  <si>
    <t>Heizung &gt; 100kW</t>
  </si>
  <si>
    <t>Heizung &lt; 100kW</t>
  </si>
  <si>
    <t>Biomethan, Klärschlamm</t>
  </si>
  <si>
    <t>Biomethan, Grüngut</t>
  </si>
  <si>
    <t>Biomethan, Grenzwert gerade erfüllt</t>
  </si>
  <si>
    <t>Biomethan, Direktlieferant</t>
  </si>
  <si>
    <t>Holzvergasung, Repotec</t>
  </si>
  <si>
    <t>Holzverbrennung</t>
  </si>
  <si>
    <t>Biomethan, Landwirtschaft</t>
  </si>
  <si>
    <t>naturemade star Biomethanmix</t>
  </si>
  <si>
    <t>Prüfwert</t>
  </si>
  <si>
    <t>Total Biomethannutzung, Brutto</t>
  </si>
  <si>
    <t>Kühlmittelemissionen</t>
  </si>
  <si>
    <t>Biomethan</t>
  </si>
  <si>
    <t>Distance moyenne de transport</t>
  </si>
  <si>
    <t>Mittlere Transportentfernung</t>
  </si>
  <si>
    <t>Nahwärmenutzung: Verkauf, Verbrauch im Gebäudekomplex</t>
  </si>
  <si>
    <t>Effet de serre 100a 1996</t>
  </si>
  <si>
    <t>Einspeisung Wärmeverbund / Verteilverluste</t>
  </si>
  <si>
    <t>Consommation d'électricité DE</t>
  </si>
  <si>
    <t>Spannungsniveau / Stromverlust berechnet</t>
  </si>
  <si>
    <t xml:space="preserve">Resultate für: </t>
  </si>
  <si>
    <t>Biomethan verbrannt in Heizung, BHKW</t>
  </si>
  <si>
    <t>Sonstiges</t>
  </si>
  <si>
    <t>Consommation de diesel</t>
  </si>
  <si>
    <t>Consommation d'électricité CH</t>
  </si>
  <si>
    <t>Anlagen-Jahresarbeitszahl</t>
  </si>
  <si>
    <t>Kältemittel inkl. Sekundärkreislauf, Füllmenge, jährliche Nachfüllmenge</t>
  </si>
  <si>
    <t>Wärmequelle</t>
  </si>
  <si>
    <t>Leistung der Anlage</t>
  </si>
  <si>
    <t>naturemade Star Prüfung: Biomethan-Nutzung</t>
  </si>
  <si>
    <t>naturemade</t>
  </si>
  <si>
    <t>ecoinvent</t>
  </si>
  <si>
    <t>Referenz, Entsorgung</t>
  </si>
  <si>
    <t>Referenz, direkte Emissionen</t>
  </si>
  <si>
    <t>Referenz, Güllelager</t>
  </si>
  <si>
    <t>Referenz, Kompost</t>
  </si>
  <si>
    <t>Referenz, Frischklärschlamm</t>
  </si>
  <si>
    <t>Gras IP</t>
  </si>
  <si>
    <t>Gras Bio</t>
  </si>
  <si>
    <t>Grass from natural meadow intensive IP, at field/CH U</t>
  </si>
  <si>
    <t>1 kg green rye conventional, at farm/kg/RER U (of project 208 naturemade KWM)</t>
  </si>
  <si>
    <t>green rye conventional, at farm/kg/RER U</t>
  </si>
  <si>
    <t>Dinkel 2012:13</t>
  </si>
  <si>
    <t>Vergärung, Prozess</t>
  </si>
  <si>
    <t>Vergärung, Lager/Nachrotte</t>
  </si>
  <si>
    <t>Dinkel 2012:14</t>
  </si>
  <si>
    <t>Industrielle Abwässer (Prüfung nicht möglich)</t>
  </si>
  <si>
    <t>Einfache Distanz, Anlieferung mit Traktor</t>
  </si>
  <si>
    <t>Einfache Distanz, Anlieferung mit Lkw</t>
  </si>
  <si>
    <t>Geschlossenes Gärgutlager/Nachgärung mit Gasnutzung</t>
  </si>
  <si>
    <t>Carcinogens</t>
  </si>
  <si>
    <t>Resp. organics</t>
  </si>
  <si>
    <t>Resp. inorganics</t>
  </si>
  <si>
    <t>Climate change</t>
  </si>
  <si>
    <t>Radiation</t>
  </si>
  <si>
    <t>Ozone layer</t>
  </si>
  <si>
    <t>Ecotoxicity</t>
  </si>
  <si>
    <t>Acidification/ Eutrophication</t>
  </si>
  <si>
    <t>Land use</t>
  </si>
  <si>
    <t>Minerals</t>
  </si>
  <si>
    <t>Fossil fuels</t>
  </si>
  <si>
    <t>Renewable, biomass</t>
  </si>
  <si>
    <t>Renewable, wind, solar, geothermal</t>
  </si>
  <si>
    <t>Renewable, water</t>
  </si>
  <si>
    <t>Waste heat</t>
  </si>
  <si>
    <t>Secondary energy and waste</t>
  </si>
  <si>
    <t>v February 2013</t>
  </si>
  <si>
    <t>Biomethanverbrauch der Anlage (14.25 kWh/kg)</t>
  </si>
  <si>
    <t>Rape oil, at oil mill/CH U</t>
  </si>
  <si>
    <t>Syrup, from sugar beet molasses, at distillery/CH U</t>
  </si>
  <si>
    <t>Clover seed IP, at farm/CH U</t>
  </si>
  <si>
    <t>Molasses, from sugar beet, at sugar refinery/CH U</t>
  </si>
  <si>
    <t>Rape meal, at oil mill/CH U</t>
  </si>
  <si>
    <t>Vegetable oil, from waste cooking oil, at plant/CH U</t>
  </si>
  <si>
    <t>Vinasse, at fermentation plant/CH U</t>
  </si>
  <si>
    <t>Combustion</t>
  </si>
  <si>
    <t>Déchet de boulangerie et confiserie, restes de pâte et farine</t>
  </si>
  <si>
    <t>Herbe et Trèfle</t>
  </si>
  <si>
    <t xml:space="preserve">Seigle vert </t>
  </si>
  <si>
    <t>Déchets d'abattoir catégorie 1</t>
  </si>
  <si>
    <t>Cochonnet engraissé (10-35 kg)</t>
  </si>
  <si>
    <t>Déchets de fruits (oranges, citrons, bananes, ananas etc.)</t>
  </si>
  <si>
    <t>Déchets de fromage</t>
  </si>
  <si>
    <t>Déchets alimentaires de la restauration</t>
  </si>
  <si>
    <t>Ensilage de plantes énergétiques</t>
  </si>
  <si>
    <t>Herbe IP</t>
  </si>
  <si>
    <t>Herbe biologique</t>
  </si>
  <si>
    <t>Pré agriculture extensive</t>
  </si>
  <si>
    <t>Pré agriculture intensive</t>
  </si>
  <si>
    <t>Critère naturemade star satisfait</t>
  </si>
  <si>
    <r>
      <t xml:space="preserve">Contrôle </t>
    </r>
    <r>
      <rPr>
        <i/>
        <sz val="10"/>
        <rFont val="Arial"/>
        <family val="2"/>
      </rPr>
      <t>naturemade star</t>
    </r>
    <r>
      <rPr>
        <sz val="10"/>
        <rFont val="Arial"/>
        <family val="2"/>
      </rPr>
      <t>: production d'énergie de biomasse</t>
    </r>
  </si>
  <si>
    <t>Eau usée industrielle (contrôle impossible)</t>
  </si>
  <si>
    <t>Vente de chaleur (après déduction pertes)</t>
  </si>
  <si>
    <t>Contrôle naturemade star: utilisation du biométhane</t>
  </si>
  <si>
    <t>Puissance de l'installation</t>
  </si>
  <si>
    <t>Source de chaleur</t>
  </si>
  <si>
    <t>Coefficient de performance (COP) de l'installation</t>
  </si>
  <si>
    <t>Données:</t>
  </si>
  <si>
    <t>Divers</t>
  </si>
  <si>
    <t>Electricité: vente et consommation hors de l'installation</t>
  </si>
  <si>
    <t>Taux de contrainte/Pertes d'électricité calculées</t>
  </si>
  <si>
    <t>Emissions directes</t>
  </si>
  <si>
    <t>Alimentation chauffage à distance / pertes de distribution</t>
  </si>
  <si>
    <t>Sortants de l'installation</t>
  </si>
  <si>
    <t>Quantité totale de substrats</t>
  </si>
  <si>
    <t>Besoin en ressources énergétiques renouvelables</t>
  </si>
  <si>
    <t>Besoin en ressources énergétiques non-renouvelables</t>
  </si>
  <si>
    <t>Consommation d'énergie additionnelle</t>
  </si>
  <si>
    <t>Biométhane</t>
  </si>
  <si>
    <t>Emissions dues aux réfrigérants</t>
  </si>
  <si>
    <t>Valeur de contrôle</t>
  </si>
  <si>
    <t>Total, Utilisation de biogaz, brut</t>
  </si>
  <si>
    <t>Total, Utilisation de biométhane, brut</t>
  </si>
  <si>
    <t>naturemade star mix de biométhane</t>
  </si>
  <si>
    <t>Biométhane, agriculture</t>
  </si>
  <si>
    <t>Combustion de bois</t>
  </si>
  <si>
    <t>Biométhane, fournisseur direct</t>
  </si>
  <si>
    <t>Biométhane, valeur-limite satisfaite</t>
  </si>
  <si>
    <t>Biométhane, déchets organiques</t>
  </si>
  <si>
    <t>Biométhane, boues d'épuration</t>
  </si>
  <si>
    <t>Chauffage &lt; 100kW</t>
  </si>
  <si>
    <t>Chauffage &gt; 100kW</t>
  </si>
  <si>
    <t>Turbine à gaz</t>
  </si>
  <si>
    <t>consommation de diesel (12 kWh/kg)</t>
  </si>
  <si>
    <t>Centrale à turbines à gaz et à turbines à vapeur</t>
  </si>
  <si>
    <t>Oui</t>
  </si>
  <si>
    <t>Non</t>
  </si>
  <si>
    <t>moyenne tension</t>
  </si>
  <si>
    <t>basse tension</t>
  </si>
  <si>
    <t>Oxydes d'azote NOx en NO2 issus de la combustion</t>
  </si>
  <si>
    <t>Agriculture, injection de fumier, Cultan</t>
  </si>
  <si>
    <t>Centrale de cogénération 500kWel mélange pauvre</t>
  </si>
  <si>
    <t>Production totale brute d'électricité</t>
  </si>
  <si>
    <t>Quantité totale produits énergétiques</t>
  </si>
  <si>
    <t>Type d'installation et dimensions du digesteur</t>
  </si>
  <si>
    <t>Critère naturemade star insatisfait</t>
  </si>
  <si>
    <t>Chaleur à proximité: vente, conso. bâtiments</t>
  </si>
  <si>
    <t>Conso. énergétique installation (respecter limites système)</t>
  </si>
  <si>
    <t>Agriculture, épandeur avec rampe de tuyaux souples</t>
  </si>
  <si>
    <t>Compostage en plein air (stockage, post-traitement)</t>
  </si>
  <si>
    <t>Site à ciel ouvert / Fermentation secondaire</t>
  </si>
  <si>
    <t>Site couvert/ Fermentation secondaire avec  gaz</t>
  </si>
  <si>
    <t>Régén. éléments nutritifs (Ultrafiltr./Osmose inverse)</t>
  </si>
  <si>
    <t>Combustion, cimenterie (92% MS)</t>
  </si>
  <si>
    <t>Total, vente de chaleur (déduction pertes de distribution)</t>
  </si>
  <si>
    <t>Combustion du méthane pour le chauffage, CHP</t>
  </si>
  <si>
    <t xml:space="preserve">Réfrigérant incl. circuit secondaire, quantité totale, quantité de recharge annuelle </t>
  </si>
  <si>
    <t>Conso. de biométhane de l'installation (14.25 kWh/kg)</t>
  </si>
  <si>
    <t>Conso. électricité propre installation d'après prod. brute d'électricité</t>
  </si>
  <si>
    <t>1 kg emission, butane/kg/CH U (of project 208 naturemade KWM)</t>
  </si>
  <si>
    <t>1 kg emission, cadmium/kg/CH U (of project 208 naturemade KWM)</t>
  </si>
  <si>
    <t>1 kg emission, CO2/kg/CH U (of project 208 naturemade KWM)</t>
  </si>
  <si>
    <t>1 kg emission, ethane/kg/CH U (of project 208 naturemade KWM)</t>
  </si>
  <si>
    <t>1 kg emission, lead/kg/CH U (of project 208 naturemade KWM)</t>
  </si>
  <si>
    <t>1 kg emission, NH3/kg/CH U (of project 208 naturemade KWM)</t>
  </si>
  <si>
    <t>1 kg emission, NMVOC/kg/CH U (of project 208 naturemade KWM)</t>
  </si>
  <si>
    <t>1 kg emission, NOx/kg/CH U (of project 208 naturemade KWM)</t>
  </si>
  <si>
    <t>1 kg emission, PM2.5/kg/CH U (of project 208 naturemade KWM)</t>
  </si>
  <si>
    <t>1 kg emission, propane/kg/CH U (of project 208 naturemade KWM)</t>
  </si>
  <si>
    <t>1 kg emission, zinc/kg/CH U (of project 208 naturemade KWM)</t>
  </si>
  <si>
    <t>emission, butane/kg/CH U</t>
  </si>
  <si>
    <t>emission, cadmium/kg/CH U</t>
  </si>
  <si>
    <t>emission, CO2/kg/CH U</t>
  </si>
  <si>
    <t>emission, ethane/kg/CH U</t>
  </si>
  <si>
    <t>emission, lead/kg/CH U</t>
  </si>
  <si>
    <t>emission, NH3/kg/CH U</t>
  </si>
  <si>
    <t>emission, NMVOC/kg/CH U</t>
  </si>
  <si>
    <t>emission, NOx/kg/CH U</t>
  </si>
  <si>
    <t>emission, PM2.5/kg/CH U</t>
  </si>
  <si>
    <t>emission, propane/kg/CH U</t>
  </si>
  <si>
    <t>emission, zinc/kg/CH U</t>
  </si>
  <si>
    <t>Human Health</t>
  </si>
  <si>
    <t>Zurück zur Eingabe</t>
  </si>
  <si>
    <t>Grüngut  und industrielle Vergärungsanlagen</t>
  </si>
  <si>
    <t>Landwirtschaft, Mist und Gülle aus der Tierhaltung</t>
  </si>
  <si>
    <t>Aufwand Referenzpreis</t>
  </si>
  <si>
    <t>Preis bei der Anlage Anlage</t>
  </si>
  <si>
    <t>Referenzprodukt</t>
  </si>
  <si>
    <t>Biogas Verluste (Methanschlupf, Aufbereitung, Unterbrüche)</t>
  </si>
  <si>
    <t>Déchets organiques et industrielle</t>
  </si>
  <si>
    <t>Pertes de biogaz (volatilisation, conditionnement et interruptions)</t>
  </si>
  <si>
    <t>direkte Emissionen (z.B. Güllelager, Nachrotte)</t>
  </si>
  <si>
    <t>EURO/kg</t>
  </si>
  <si>
    <t>Standort</t>
  </si>
  <si>
    <t>Schweiz</t>
  </si>
  <si>
    <t>Deutschland</t>
  </si>
  <si>
    <t>xx</t>
  </si>
  <si>
    <t>Suisse</t>
  </si>
  <si>
    <t>Allemagne</t>
  </si>
  <si>
    <t>Emplacement</t>
  </si>
  <si>
    <t>Strombezug aus Netz</t>
  </si>
  <si>
    <t>Consommation d'électricité du réseau</t>
  </si>
  <si>
    <t>reference value, manure/kg/DE U</t>
  </si>
  <si>
    <t>Nährstoffgehalte gemäss Literatur</t>
  </si>
  <si>
    <t>theoretischer Wert der Nährstoffe</t>
  </si>
  <si>
    <t>Gärgut, fest</t>
  </si>
  <si>
    <t>Gärgut, flüssig</t>
  </si>
  <si>
    <t>Wert</t>
  </si>
  <si>
    <t>Literatur</t>
  </si>
  <si>
    <t>Verhältnis Kompost/Gärgut</t>
  </si>
  <si>
    <t>kg/m3 FM</t>
  </si>
  <si>
    <t>kg/t FM</t>
  </si>
  <si>
    <t>CHF/t GG</t>
  </si>
  <si>
    <t>Stickstoff, verfügbar</t>
  </si>
  <si>
    <t>Bartha-Pichler 2008</t>
  </si>
  <si>
    <t>Phosphor</t>
  </si>
  <si>
    <t>Kalium</t>
  </si>
  <si>
    <t>Calzium</t>
  </si>
  <si>
    <t>Humus-C</t>
  </si>
  <si>
    <t>Fuchs 2006</t>
  </si>
  <si>
    <t>Menge pro kg Grüngut</t>
  </si>
  <si>
    <t>Aufteilung Referenzwert</t>
  </si>
  <si>
    <t>t FM/m3 FM</t>
  </si>
  <si>
    <t>CHF/t</t>
  </si>
  <si>
    <t>Durchschnitt</t>
  </si>
  <si>
    <t>© ESU-services GmbH</t>
  </si>
  <si>
    <t>v8.0</t>
  </si>
  <si>
    <t>v9.0</t>
  </si>
  <si>
    <t>1 kg meat mixed, IP, at slaughterhouse/kg/CH U (of project 000 food database)</t>
  </si>
  <si>
    <t>apple ÖLN, at farm/kg/CH U</t>
  </si>
  <si>
    <t>bread, at bakery/kg/CH U</t>
  </si>
  <si>
    <t>meat mixed, IP, at slaughterhouse/kg/CH U</t>
  </si>
  <si>
    <t>vegetables mean, IP, at farm/kg/CH U</t>
  </si>
  <si>
    <t>by-products, wheat milling, at plant/kg/CH U</t>
  </si>
  <si>
    <t>yeast, at plant/kg/RER U</t>
  </si>
  <si>
    <t>Rechereche Niels</t>
  </si>
  <si>
    <t>Recherche Arthur W. 2013, Mail 27.3.2014</t>
  </si>
  <si>
    <t>Aufwand pro kg FM</t>
  </si>
  <si>
    <t>CHF/kg FM</t>
  </si>
  <si>
    <t>EI/CHF</t>
  </si>
  <si>
    <t>UW Belastung</t>
  </si>
  <si>
    <t>HUF/kg</t>
  </si>
  <si>
    <t>Recherche1</t>
  </si>
  <si>
    <t>Recherche2</t>
  </si>
  <si>
    <t>Ungarn</t>
  </si>
  <si>
    <t>EI/HUF</t>
  </si>
  <si>
    <t>Vergleichen</t>
  </si>
  <si>
    <t>Wirkungsabschätzung</t>
  </si>
  <si>
    <t xml:space="preserve">Product 25: </t>
  </si>
  <si>
    <t xml:space="preserve">Methode: </t>
  </si>
  <si>
    <t>Eco-indicator 99 (H) V2.10 / Europe EI 99 H/A</t>
  </si>
  <si>
    <t xml:space="preserve">Indikator: </t>
  </si>
  <si>
    <t>Einzelergebnis</t>
  </si>
  <si>
    <t>Nie</t>
  </si>
  <si>
    <t xml:space="preserve">Default units: </t>
  </si>
  <si>
    <t xml:space="preserve">Infrastrukturprozesse ausschließen: </t>
  </si>
  <si>
    <t xml:space="preserve">Langzeitemissionen ausschließen: </t>
  </si>
  <si>
    <t>Wirkungskategorie</t>
  </si>
  <si>
    <t>Aufsteigend</t>
  </si>
  <si>
    <t>Einheit</t>
  </si>
  <si>
    <t>anaerobic digestion plant covered, agriculture/CH/I U</t>
  </si>
  <si>
    <t>anaerobic digestion plant, biowaste/CH/I U</t>
  </si>
  <si>
    <t>Charakterisierung</t>
  </si>
  <si>
    <t>grass silage organic, at farm/CH U</t>
  </si>
  <si>
    <t>sugar beets IP, at farm/CH U</t>
  </si>
  <si>
    <t>reference value, manure/kg/HU U</t>
  </si>
  <si>
    <t>v10.0</t>
  </si>
  <si>
    <t>Wechselkurs  für Währung</t>
  </si>
  <si>
    <t>Umrechnung von Euro zu CHF</t>
  </si>
  <si>
    <t>Umrechnung von HUF zu CHF</t>
  </si>
  <si>
    <t>Umrechnung von HUF zu Euro</t>
  </si>
  <si>
    <t xml:space="preserve">Achtung der finanzielle Aufwand ist höher als der Referenzpreis! </t>
  </si>
  <si>
    <t>Avertissement le fardeau financier est supérieur au prix de référence!</t>
  </si>
  <si>
    <t>Pulps, from sugar beet, at sugar refinery/CH U</t>
  </si>
  <si>
    <t>raw milk, silo zone, at farm/kg/CH U</t>
  </si>
  <si>
    <t>whey, at cheese dairy/kg/CH U</t>
  </si>
  <si>
    <t>Treibhauseffekt 100a 2013</t>
  </si>
  <si>
    <t>Effet de serre 100a 2013</t>
  </si>
  <si>
    <t>Kommunale Kläranlage</t>
  </si>
  <si>
    <t>Station d'épuration des eaux résiduaires</t>
  </si>
  <si>
    <t xml:space="preserve">Hongrie </t>
  </si>
  <si>
    <t xml:space="preserve">Product 26: </t>
  </si>
  <si>
    <t>1 m3 treatment, sugar factory effluent, to wastewater treatment, class 4/HU U (of project 208 naturemade KWM)</t>
  </si>
  <si>
    <t>treatment, sugar factory effluent, to wastewater treatment, class 4/HU U</t>
  </si>
  <si>
    <t>Test</t>
  </si>
  <si>
    <t>Oxydes d'azote NOx en NO2 issus de la centrale de combustion</t>
  </si>
  <si>
    <t>4.7.2017 - Fehlerkorrektur Preis bei KVA</t>
  </si>
  <si>
    <t>14.6.2017 - Anpassung der Texte für Verbrennung</t>
  </si>
  <si>
    <t>15.7.2015 - Anpassungen für die Verwendung in Ungarn</t>
  </si>
  <si>
    <t>Agriculture, injection de fumier, tuyaux souples</t>
  </si>
  <si>
    <t>Micro turbiné</t>
  </si>
  <si>
    <t>Allocation d'après contenu exégétique (fiche supplémentaire)</t>
  </si>
  <si>
    <t>Gazéification du bois, Repotec</t>
  </si>
  <si>
    <t>Allocation d'après contenu exégétique (ecoinvent)</t>
  </si>
  <si>
    <t>Dänemark1</t>
  </si>
  <si>
    <t>Dänemark2</t>
  </si>
  <si>
    <t>Preisschätzung DK</t>
  </si>
  <si>
    <t>Preisschätzung HU</t>
  </si>
  <si>
    <t xml:space="preserve">  -</t>
  </si>
  <si>
    <t>Dänemark</t>
  </si>
  <si>
    <t>Danemark</t>
  </si>
  <si>
    <t>21.9.2017 - Ergänzungen Berechnung für Dänemark</t>
  </si>
  <si>
    <t>v11.0</t>
  </si>
  <si>
    <t xml:space="preserve">Product 27: </t>
  </si>
  <si>
    <t>electricity, medium voltage, at grid/kWh/HU U</t>
  </si>
  <si>
    <t>electricity, medium voltage, at grid/kWh/DK U</t>
  </si>
  <si>
    <t>light fuel oil, burned in industrial furnace 1MW, non-modulating/MJ/CH U</t>
  </si>
  <si>
    <t>disposal, digester sludge, to municipal incineration/kg/CH U</t>
  </si>
  <si>
    <t>reference value, manure/kg/DK U</t>
  </si>
  <si>
    <t>v11.2</t>
  </si>
  <si>
    <t>Anteil Gasertrag</t>
  </si>
  <si>
    <t>Anteil Eco-indicator Punkte</t>
  </si>
  <si>
    <t>1 kg industrial fish, from trout filleting, at fish factory/kg/FR U (of project 000 food database)</t>
  </si>
  <si>
    <t>1 kg industrial fish, from salmon filleting, at fish factory/kg/NO U (of project 000 food database)</t>
  </si>
  <si>
    <t>1 kg industrial fish, from mackerel fishing, at harbour/kg/DK U (of project 000 food database)</t>
  </si>
  <si>
    <t>1 kg industrial fish, from mackerel filleting, at fish factory/kg/DK U (of project 000 food database)</t>
  </si>
  <si>
    <t>1 kg industrial fish, from herring fishing, at harbour/kg/DK U (of project 000 food database)</t>
  </si>
  <si>
    <t>1 kg industrial fish, from herring filleting, at fish factory/kg/DK U (of project 000 food database)</t>
  </si>
  <si>
    <t>1 kg industrial fish, from codfish fishing, at harbour/kg/DK U (of project 000 food database)</t>
  </si>
  <si>
    <t>1 kg industrial fish, from cod filleting, at fish factory/kg/DK U (of project 000 food database)</t>
  </si>
  <si>
    <t>0.004745684 kg meat mixed, IP, at slaughterhouse/kg/CH U (of project 000 food database)</t>
  </si>
  <si>
    <t>industrial fish, from trout filleting, at fish factory/kg/FR U</t>
  </si>
  <si>
    <t>industrial fish, from salmon filleting, at fish factory/kg/NO U</t>
  </si>
  <si>
    <t>industrial fish, from mackerel fishing, at harbour/kg/DK U</t>
  </si>
  <si>
    <t>industrial fish, from mackerel filleting, at fish factory/kg/DK U</t>
  </si>
  <si>
    <t>industrial fish, from herring fishing, at harbour/kg/DK U</t>
  </si>
  <si>
    <t>industrial fish, from herring filleting, at fish factory/kg/DK U</t>
  </si>
  <si>
    <t>industrial fish, from codfish fishing, at harbour/kg/DK U</t>
  </si>
  <si>
    <t>industrial fish, from cod filleting, at fish factory/kg/DK U</t>
  </si>
  <si>
    <t>Euro</t>
  </si>
  <si>
    <t>Price LCI (Euro/kg)</t>
  </si>
  <si>
    <t>in DK (euro/kg)</t>
  </si>
  <si>
    <t>New EI Pts.</t>
  </si>
  <si>
    <t>12.2.2018 - Weitere Anpassungen für Dänemark</t>
  </si>
  <si>
    <t>0.0001 p anaerobic digestion plant covered, agriculture/CH/I U (of project ESU database 2018)</t>
  </si>
  <si>
    <t>1.2E-5 p Anaerobic digestion plant, sewage sludge/CH/I U (of project ESU database 2018)</t>
  </si>
  <si>
    <t>6.67E-5 p anaerobic digestion plant, biowaste/CH/I U (of project ESU database 2018)</t>
  </si>
  <si>
    <t>3.6 MJ light fuel oil, burned in industrial furnace 1MW, non-modulating/MJ/CH U (of project ESU database 2018)</t>
  </si>
  <si>
    <t>3.6 MJ Diesel, burned in building machine/GLO U (of project ESU database 2018)</t>
  </si>
  <si>
    <t>3.6 MJ Natural gas, burned in boiler condensing modulating &gt;100kW/RER U (of project ESU database 2018)</t>
  </si>
  <si>
    <t>1 tkm Transport, lorry 20-28t, fleet average/CH U (of project ESU database 2018)</t>
  </si>
  <si>
    <t>1 tkm Transport, tractor and trailer/CH U (of project ESU database 2018)</t>
  </si>
  <si>
    <t>4200 kg disposal, digester sludge, to municipal incineration/kg/CH U (of project ESU database 2018)</t>
  </si>
  <si>
    <t>1 m3 Treatment, sewage, to wastewater treatment, class 4/CH U (of project ESU database 2018)</t>
  </si>
  <si>
    <t>Umrechnung von DKK zu CHF</t>
  </si>
  <si>
    <t>Umrechnung von DKK zu Euro</t>
  </si>
  <si>
    <t>http://www.statbank.dk/10080</t>
  </si>
  <si>
    <t>DKK/kg</t>
  </si>
  <si>
    <t>Umrechnung von DKK zu HUF</t>
  </si>
  <si>
    <t>1 kg Rape oil, at oil mill/CH U (of project ESU database 2018)</t>
  </si>
  <si>
    <t>1 kg wheat straw IP, at farm/kg/CH U (of project ESU database 2018)</t>
  </si>
  <si>
    <t>1 kg Syrup, from sugar beet molasses, at distillery/CH U (of project ESU database 2018)</t>
  </si>
  <si>
    <t>1 kg glycerine, from rape oil, at esterification plant/kg/CH U (of project ESU database 2018)</t>
  </si>
  <si>
    <t>0.35 kg grass silage IP, at farm/kg/CH U (of project ESU database 2018)</t>
  </si>
  <si>
    <t>0.35 kg grass silage organic, at farm/kg/CH U (of project ESU database 2018)</t>
  </si>
  <si>
    <t>1 kg hay intensive IP, at farm/kg/CH U (of project ESU database 2018)</t>
  </si>
  <si>
    <t>1 kg potatoes IP, at farm/kg/CH U (of project ESU database 2018)</t>
  </si>
  <si>
    <t>1 kg Clover seed IP, at farm/CH U (of project ESU database 2018)</t>
  </si>
  <si>
    <t>1 kg silage maize IP, at farm/kg/CH U (of project ESU database 2018)</t>
  </si>
  <si>
    <t>1 kg sugar beets IP, at farm/kg/CH U (of project ESU database 2018)</t>
  </si>
  <si>
    <t>1 kg Molasses, from sugar beet, at sugar refinery/CH U (of project ESU database 2018)</t>
  </si>
  <si>
    <t>1 kg Rape meal, at oil mill/CH U (of project ESU database 2018)</t>
  </si>
  <si>
    <t>1 kg rye grains IP, at farm/kg/CH U (of project ESU database 2018)</t>
  </si>
  <si>
    <t>0.125 kg grass from meadow intensive IP, at field/kg/CH U (of project ESU database 2018)</t>
  </si>
  <si>
    <t>0.125 kg grass from natural meadow intensive IP, at field/kg/CH U (of project ESU database 2018)</t>
  </si>
  <si>
    <t>1 kg Vegetable oil, from waste cooking oil, at plant/CH U (of project ESU database 2018)</t>
  </si>
  <si>
    <t>1 kg Vinasse, at fermentation plant/CH U (of project ESU database 2018)</t>
  </si>
  <si>
    <t>1 kg Pulps, from sugar beet, at sugar refinery/CH U (of project ESU database 2018)</t>
  </si>
  <si>
    <t>wheat straw IP, at farm/kg/CH U</t>
  </si>
  <si>
    <t>glycerine, from rape oil, at esterification plant/kg/CH U</t>
  </si>
  <si>
    <t>grass silage IP, at farm/kg/CH U</t>
  </si>
  <si>
    <t>grass silage organic, at farm/kg/CH U</t>
  </si>
  <si>
    <t>silage maize IP, at farm/kg/CH U</t>
  </si>
  <si>
    <t>sugar beets IP, at farm/kg/CH U</t>
  </si>
  <si>
    <t>rye grains IP, at farm/kg/CH U</t>
  </si>
  <si>
    <t>grass from meadow intensive IP, at field/kg/CH U</t>
  </si>
  <si>
    <t>grass from natural meadow intensive IP, at field/kg/CH U</t>
  </si>
  <si>
    <t>Grass silage IP, at farm/kg/CH U</t>
  </si>
  <si>
    <t>Silage maize IP, at farm/kg/CH U</t>
  </si>
  <si>
    <t>Rye grains IP, at farm/kg/CH U</t>
  </si>
  <si>
    <t>Grass from natural meadow intensive IP, at field/kg/CH U</t>
  </si>
  <si>
    <t>Grass from meadow intensive IP, at field/kg/CH U</t>
  </si>
  <si>
    <t>1 kWh Electricity, medium voltage {CH}| market for | Cut-off, S (of project Ecoinvent 3 - allocation, cut-off by classification - system)</t>
  </si>
  <si>
    <t>1 kWh Electricity, medium voltage {DE}| market for | Cut-off, S (of project Ecoinvent 3 - allocation, cut-off by classification - system)</t>
  </si>
  <si>
    <t>1 kWh Electricity, medium voltage {DK}| market for | Cut-off, S (of project Ecoinvent 3 - allocation, cut-off by classification - system)</t>
  </si>
  <si>
    <t>1 kWh Electricity, medium voltage {HU}| market for | Cut-off, S (of project Ecoinvent 3 - allocation, cut-off by classification - system)</t>
  </si>
  <si>
    <t>Electricity, medium voltage {CH}| market for | Cut-off, S</t>
  </si>
  <si>
    <t>Electricity, medium voltage {DE}| market for | Cut-off, S</t>
  </si>
  <si>
    <t>Electricity, medium voltage {DK}| market for | Cut-off, S</t>
  </si>
  <si>
    <t>Electricity, medium voltage {HU}| market for | Cut-off, S</t>
  </si>
  <si>
    <t>27.2.2018 - Neuberechnung Strom mit ecoinvent v3.4 Daten</t>
  </si>
  <si>
    <t>Daten ESU-datenbank 2018</t>
  </si>
  <si>
    <t>Glyzerin</t>
  </si>
  <si>
    <t>Stefan Mutzner, 2009</t>
  </si>
  <si>
    <t>Es ist in der Tat so, dass die Industrie für die Glycerinphase rund Fr. 
160.--/to. bezahlt. Im Verfütterungskanal wird für aufgearbeitetes 
Glycerin sogar Fr. 350 bis Fr. 400.-- bezahlt. Das anfallende Glycerin 
wird nur in Biogasanlagen vergärt, wenn die Biodieselproduzenten keinen 
Absatzkanal mehr in die Industrie oder in die Verfütterung haben. Das 
heisst, die Preise sind in der Regel tiefer als die Fr. 160.--.</t>
  </si>
  <si>
    <t>&lt;160</t>
  </si>
  <si>
    <t>Europa</t>
  </si>
  <si>
    <t>Euro/t</t>
  </si>
  <si>
    <t>Rohglyzerin 80%, Biogasanlage</t>
  </si>
  <si>
    <t>Glyzerin, aufbereitet, 99%</t>
  </si>
  <si>
    <t>Rohglyzerin 80%, Industrie/Futter</t>
  </si>
  <si>
    <t>380-450</t>
  </si>
  <si>
    <t>Lieferung</t>
  </si>
  <si>
    <t>300-380</t>
  </si>
  <si>
    <t>40-60</t>
  </si>
  <si>
    <t>Jahr</t>
  </si>
  <si>
    <t>Bioenergy project</t>
  </si>
  <si>
    <t>Stucki</t>
  </si>
  <si>
    <t>DK</t>
  </si>
  <si>
    <t>A. Wellinger</t>
  </si>
  <si>
    <t>Oleoline</t>
  </si>
  <si>
    <t>Oleo Reporter</t>
  </si>
  <si>
    <t>180-400 (250)</t>
  </si>
  <si>
    <t>170-340 (215)</t>
  </si>
  <si>
    <t>https://mediathek.fnr.de/grafiken/daten-und-fakten/preise-und-kosten/preise-glycerin-interaktiv.html</t>
  </si>
  <si>
    <t>http://slideplayer.org/slide/2419690/</t>
  </si>
  <si>
    <t>https://www.agrarheute.com/wochenblatt/maerkte/getreide-oelsaaten/kraftstoff-grosshandelspreise-tendieren-uneinheitlich-539248</t>
  </si>
  <si>
    <t>Gekaufte Substrate</t>
  </si>
  <si>
    <t>Glycerin aus Altpflanzenöl</t>
  </si>
  <si>
    <t>Glycerin aus tierischen Fetten</t>
  </si>
  <si>
    <t>Glycerin aus Rapsöl</t>
  </si>
  <si>
    <t>Glycerin aus Sojaöl</t>
  </si>
  <si>
    <t>Glycerin aus Palmöl</t>
  </si>
  <si>
    <t>1 kg glycerine, from animal fat, at esterification plant/kg/RER U (of project 208 naturemade KWM)</t>
  </si>
  <si>
    <t>1 kg glycerine, from vegetable oil, at esterification plant/kg/RER U (of project 208 naturemade KWM)</t>
  </si>
  <si>
    <t>1 kg glycerine, from rape oil, at esterification plant/kg/RER U (of project ESU database 2018)</t>
  </si>
  <si>
    <t>1 kg glycerine, from soybean oil, at esterification plant/kg/RER U (of project 208 naturemade KWM)</t>
  </si>
  <si>
    <t>1 kg glycerine, from palm oil, at esterification plant/kg/RER U (of project 208 naturemade KWM)</t>
  </si>
  <si>
    <t>glycerine, from animal fat, at esterification plant/kg/RER U</t>
  </si>
  <si>
    <t>glycerine, from vegetable oil, at esterification plant/kg/RER U</t>
  </si>
  <si>
    <t>glycerine, from rape oil, at esterification plant/kg/RER U</t>
  </si>
  <si>
    <t>glycerine, from soybean oil, at esterification plant/kg/RER U</t>
  </si>
  <si>
    <t>glycerine, from palm oil, at esterification plant/kg/RER U</t>
  </si>
  <si>
    <t>1 kg glycerine, from vegetable oil, at esterification plant/CH U (of project ESU database 2018)</t>
  </si>
  <si>
    <t>glycerine, from vegetable oil, at esterification plant/CH U</t>
  </si>
  <si>
    <t>Supports achetés</t>
  </si>
  <si>
    <t>Glycérine provenant de déchets d'huile végétale</t>
  </si>
  <si>
    <t>Glycérine de l'huile de colza</t>
  </si>
  <si>
    <t>Glycérine de l'huile de soja</t>
  </si>
  <si>
    <t>Glycérine de l'huile de palme</t>
  </si>
  <si>
    <t>1 kg glycerine, from vegetable oil, at esterification plant/kg/FR U (of project ESU database 2018)</t>
  </si>
  <si>
    <t>1 kg Glycerine, from soybean oil, at esterification plant/US U (of project ESU database 2018)</t>
  </si>
  <si>
    <t>1 kg Glycerine, from soybean oil, at esterification plant/BR U (of project ESU database 2018)</t>
  </si>
  <si>
    <t>1 kg Glycerine, from palm oil, at esterification plant/MY U (of project ESU database 2018)</t>
  </si>
  <si>
    <t>1 kg Glycerine, from epichlorohydrin, at plant/RER U (of project ESU database 2018)</t>
  </si>
  <si>
    <t>1 kg Glycerine {US}| esterification of soybean oil | Cut-off, U (of project Ecoinvent 3 - allocation, cut-off by classification - unit)</t>
  </si>
  <si>
    <t>1 kg Glycerine {RoW}| treatment of waste cooking oil, purified, esterification | Cut-off, U (of project Ecoinvent 3 - allocation, cut-off by classification - unit)</t>
  </si>
  <si>
    <t>1 kg Glycerine {RoW}| production, from epichlorohydrin | Cut-off, U (of project Ecoinvent 3 - allocation, cut-off by classification - unit)</t>
  </si>
  <si>
    <t>1 kg Glycerine {RoW}| esterification of soybean oil | Cut-off, U (of project Ecoinvent 3 - allocation, cut-off by classification - unit)</t>
  </si>
  <si>
    <t>1 kg Glycerine {RoW}| esterification of rape oil | Cut-off, U (of project Ecoinvent 3 - allocation, cut-off by classification - unit)</t>
  </si>
  <si>
    <t>1 kg Glycerine {RoW}| esterification of palm oil | Cut-off, U (of project Ecoinvent 3 - allocation, cut-off by classification - unit)</t>
  </si>
  <si>
    <t>1 kg Glycerine {RER}| production, from epichlorohydrin | Cut-off, U (of project Ecoinvent 3 - allocation, cut-off by classification - unit)</t>
  </si>
  <si>
    <t>1 kg Glycerine {MY}| esterification of palm oil | Cut-off, U (of project Ecoinvent 3 - allocation, cut-off by classification - unit)</t>
  </si>
  <si>
    <t>1 kg Glycerine {GLO}| stearic acid production | Cut-off, U (of project Ecoinvent 3 - allocation, cut-off by classification - unit)</t>
  </si>
  <si>
    <t>1 kg Glycerine {GLO}| market for | Cut-off, U (of project Ecoinvent 3 - allocation, cut-off by classification - unit)</t>
  </si>
  <si>
    <t>1 kg Glycerine {FR}| treatment of waste cooking oil, purified, esterification | Cut-off, U (of project Ecoinvent 3 - allocation, cut-off by classification - unit)</t>
  </si>
  <si>
    <t>1 kg Glycerine {Europe without Switzerland}| esterification of rape oil | Cut-off, U (of project Ecoinvent 3 - allocation, cut-off by classification - unit)</t>
  </si>
  <si>
    <t>1 kg Glycerine {CH}| esterification of rape oil | Cut-off, U (of project Ecoinvent 3 - allocation, cut-off by classification - unit)</t>
  </si>
  <si>
    <t>1 kg Glycerine {CA-QC}| treatment of waste cooking oil, purified, esterification | Cut-off, U (of project Ecoinvent 3 - allocation, cut-off by classification - unit)</t>
  </si>
  <si>
    <t>1 kg Glycerine {BR}| esterification of soybean oil | Cut-off, U (of project Ecoinvent 3 - allocation, cut-off by classification - unit)</t>
  </si>
  <si>
    <t xml:space="preserve">Product 28: </t>
  </si>
  <si>
    <t>1 kg application, digested matter, from glycerine, on agricultural land/CH U (of project ESU database 2018)</t>
  </si>
  <si>
    <t>glycerine, from vegetable oil, at esterification plant/kg/FR U</t>
  </si>
  <si>
    <t>Glycerine, from soybean oil, at esterification plant/US U</t>
  </si>
  <si>
    <t>Glycerine, from soybean oil, at esterification plant/BR U</t>
  </si>
  <si>
    <t>Glycerine, from palm oil, at esterification plant/MY U</t>
  </si>
  <si>
    <t>Glycerine, from epichlorohydrin, at plant/RER U</t>
  </si>
  <si>
    <t>Glycerine {US}| esterification of soybean oil | Cut-off, U</t>
  </si>
  <si>
    <t>Glycerine {RoW}| treatment of waste cooking oil, purified, esterification | Cut-off, U</t>
  </si>
  <si>
    <t>Glycerine {RoW}| production, from epichlorohydrin | Cut-off, U</t>
  </si>
  <si>
    <t>Glycerine {RoW}| esterification of soybean oil | Cut-off, U</t>
  </si>
  <si>
    <t>Glycerine {RoW}| esterification of rape oil | Cut-off, U</t>
  </si>
  <si>
    <t>Glycerine {RoW}| esterification of palm oil | Cut-off, U</t>
  </si>
  <si>
    <t>Glycerine {RER}| production, from epichlorohydrin | Cut-off, U</t>
  </si>
  <si>
    <t>Glycerine {MY}| esterification of palm oil | Cut-off, U</t>
  </si>
  <si>
    <t>Glycerine {GLO}| stearic acid production | Cut-off, U</t>
  </si>
  <si>
    <t>Glycerine {GLO}| market for | Cut-off, U</t>
  </si>
  <si>
    <t>Glycerine {FR}| treatment of waste cooking oil, purified, esterification | Cut-off, U</t>
  </si>
  <si>
    <t>Glycerine {Europe without Switzerland}| esterification of rape oil | Cut-off, U</t>
  </si>
  <si>
    <t>Glycerine {CH}| esterification of rape oil | Cut-off, U</t>
  </si>
  <si>
    <t>Glycerine {CA-QC}| treatment of waste cooking oil, purified, esterification | Cut-off, U</t>
  </si>
  <si>
    <t>Glycerine {BR}| esterification of soybean oil | Cut-off, U</t>
  </si>
  <si>
    <t>application, digested matter, from glycerine, on agricultural land/CH U</t>
  </si>
  <si>
    <t>land use LCIA falsch</t>
  </si>
  <si>
    <t>12.3.2018 - Neuberechnung Glycerin mit festem Allokationskriterium</t>
  </si>
  <si>
    <t>Referenz, fest Kompost</t>
  </si>
  <si>
    <t>Referenz, flüssig Kompost</t>
  </si>
  <si>
    <t>IPCC 2013 GWP 100a V1.03</t>
  </si>
  <si>
    <t>Ecological Scarcity 2013 V1.05 / Ecological scarcity 2013</t>
  </si>
  <si>
    <t>Water resources</t>
  </si>
  <si>
    <t>Mineral resources</t>
  </si>
  <si>
    <t>Global warming</t>
  </si>
  <si>
    <t>Ozone layer depletion</t>
  </si>
  <si>
    <t>Main air pollutants and PM</t>
  </si>
  <si>
    <t>Carcinogenic substances into air</t>
  </si>
  <si>
    <t>Heavy metals into air</t>
  </si>
  <si>
    <t>Water pollutants</t>
  </si>
  <si>
    <t>POP into water</t>
  </si>
  <si>
    <t>Heavy metals into water</t>
  </si>
  <si>
    <t>Pesticides into soil</t>
  </si>
  <si>
    <t>Heavy metals into soil</t>
  </si>
  <si>
    <t>Radioactive substances into air</t>
  </si>
  <si>
    <t>Radioactive substances into water</t>
  </si>
  <si>
    <t>Noise</t>
  </si>
  <si>
    <t>Non radioactive waste to deposit</t>
  </si>
  <si>
    <t>Radioactive waste to deposit</t>
  </si>
  <si>
    <t>Umweltbelastungspunkte 2013</t>
  </si>
  <si>
    <t>Méthode de la saturation écologique 2013</t>
  </si>
  <si>
    <t>1 kg emission, CH4, biogenic/kg/CH U (of project 208 naturemade KWM)</t>
  </si>
  <si>
    <t>1 kg emission, H2S/kg/CH U (of project 208 naturemade KWM)</t>
  </si>
  <si>
    <t>1 kg emission, N2O/kg/CH U (of project 208 naturemade KWM)</t>
  </si>
  <si>
    <t>Schadenskategorie</t>
  </si>
  <si>
    <t>emission, CH4, biogenic/kg/CH U</t>
  </si>
  <si>
    <t>emission, H2S/kg/CH U</t>
  </si>
  <si>
    <t>emission, N2O/kg/CH U</t>
  </si>
  <si>
    <t>ohne getrennt alloziert</t>
  </si>
  <si>
    <t>29.3.2018 - Aufdatierung aller Indikatorwerte für Umweltdeklaration</t>
  </si>
  <si>
    <t>Valeur-limite biogaz</t>
  </si>
  <si>
    <t>1 kWh raw biogas, distribution/kWh/CH U (of project 208 naturemade KWM)</t>
  </si>
  <si>
    <t>raw biogas, distribution/kWh/CH U</t>
  </si>
  <si>
    <t>Total, Kontrolle</t>
  </si>
  <si>
    <t>kWh</t>
  </si>
  <si>
    <t>Grenzwert Biogas</t>
  </si>
  <si>
    <t>Grenzwert Biomethan</t>
  </si>
  <si>
    <t>Valeur-limite biométhane</t>
  </si>
  <si>
    <t>3.4.2018 - Einfügen Biogas als Produkt</t>
  </si>
  <si>
    <t>valentin.graf@naturemade.ch</t>
  </si>
  <si>
    <t>Plant type and fermenter size</t>
  </si>
  <si>
    <t>Power supply from the grid</t>
  </si>
  <si>
    <t>Outputs of the plant</t>
  </si>
  <si>
    <t>Electricity: sale and consumption outside the plant</t>
  </si>
  <si>
    <t>Results:</t>
  </si>
  <si>
    <t>per kWh electricity</t>
  </si>
  <si>
    <t>Digested sludge in cement works (dewatered)</t>
  </si>
  <si>
    <t>Biogas losses (methane slip, treatment, interruptions)</t>
  </si>
  <si>
    <t>No check possible</t>
  </si>
  <si>
    <t>naturemade Star criterion not fulfilled</t>
  </si>
  <si>
    <t>Treatment and storage of digestate</t>
  </si>
  <si>
    <t>Simple distance plant - Spreading/Disposal</t>
  </si>
  <si>
    <t>Demand for renewable energy resources</t>
  </si>
  <si>
    <t>Demand for non-renewable energy resources</t>
  </si>
  <si>
    <t>Fresh mass (FM)</t>
  </si>
  <si>
    <t>Simple distance, delivery with tractor</t>
  </si>
  <si>
    <t>Simple distance, delivery by truck</t>
  </si>
  <si>
    <t>Number of animals</t>
  </si>
  <si>
    <t>Fermenter size</t>
  </si>
  <si>
    <t>Local heat utilisation: sale, consumption in the vicinity of the plant</t>
  </si>
  <si>
    <t>Average distance for co-substrate transport by truck</t>
  </si>
  <si>
    <t>Total use of biogas, gross</t>
  </si>
  <si>
    <t>Green waste and industrial fermentation plants</t>
  </si>
  <si>
    <t>Total heat sales (after deduction of distribution losses)</t>
  </si>
  <si>
    <t>Reference, direct emissions</t>
  </si>
  <si>
    <t>No treatment</t>
  </si>
  <si>
    <t>Rotting drum, heated</t>
  </si>
  <si>
    <t>Open digestate storage/post-fermentation</t>
  </si>
  <si>
    <t>Closed digestate storage/post-fermentation with gas utilization</t>
  </si>
  <si>
    <t>Nutrient preparation (ultrafiltration/reverse osmosis)</t>
  </si>
  <si>
    <t>Agriculture, liquid manure barrel</t>
  </si>
  <si>
    <t>Agriculture, drag hose</t>
  </si>
  <si>
    <t>Agriculture, Injection, Towing shoe</t>
  </si>
  <si>
    <t>Agriculture, Injection, Cultan (Vaccination)</t>
  </si>
  <si>
    <t>Sewage treatment plant, recirculation</t>
  </si>
  <si>
    <t>Municipal sewage treatment plant</t>
  </si>
  <si>
    <t>Type of combustion</t>
  </si>
  <si>
    <t>Gas engine (candle ignition)</t>
  </si>
  <si>
    <t>Reference, compost</t>
  </si>
  <si>
    <t>Percentage of stable housing</t>
  </si>
  <si>
    <t>Own energy consumption of the system (observe system limits)</t>
  </si>
  <si>
    <t>Compost, Horticulture</t>
  </si>
  <si>
    <t>Reference, fuel, cement plant</t>
  </si>
  <si>
    <t>Total quantity of energy products</t>
  </si>
  <si>
    <t>Nitrogen oxides NOx as NO2 from combustion</t>
  </si>
  <si>
    <t>Power supply from DE grid</t>
  </si>
  <si>
    <t>Location</t>
  </si>
  <si>
    <t>Switzerland</t>
  </si>
  <si>
    <t>Hungary</t>
  </si>
  <si>
    <t>Denmark</t>
  </si>
  <si>
    <t xml:space="preserve">Attention the financial expenditure is higher than the reference price! </t>
  </si>
  <si>
    <t>Germany</t>
  </si>
  <si>
    <t>naturemade Star certification: Energy products from biogas plants</t>
  </si>
  <si>
    <t>Plant name and reference period</t>
  </si>
  <si>
    <t>Quantity</t>
  </si>
  <si>
    <t>Fuel oil consumption</t>
  </si>
  <si>
    <t>Natural gas consumption</t>
  </si>
  <si>
    <t>Naturemade test value</t>
  </si>
  <si>
    <t>Direct emissions (e.g. slurry storage, post-rotting)</t>
  </si>
  <si>
    <t>Total input quantity for the plant</t>
  </si>
  <si>
    <t>Global naturemade Star criterion met</t>
  </si>
  <si>
    <t>Ecological scarcity points 2013</t>
  </si>
  <si>
    <t>Feed into a heat network / distribution losses district heating network</t>
  </si>
  <si>
    <t>Carbon footprint 100a 2013</t>
  </si>
  <si>
    <t>External energy demand</t>
  </si>
  <si>
    <t>Purchased substrates</t>
  </si>
  <si>
    <t>Incineration</t>
  </si>
  <si>
    <t>Environmental product declaration</t>
  </si>
  <si>
    <t>Limit value, electricity</t>
  </si>
  <si>
    <t>Limit value, heat</t>
  </si>
  <si>
    <t>Limit value, biomethane</t>
  </si>
  <si>
    <t>Reference, disposal</t>
  </si>
  <si>
    <t>naturemade certification value</t>
  </si>
  <si>
    <t>Farming</t>
  </si>
  <si>
    <t>Wastewater treatment plant</t>
  </si>
  <si>
    <t>Industrial effluents (testing not possible)</t>
  </si>
  <si>
    <t>Water consumption</t>
  </si>
  <si>
    <t>Open composting, storage, rent or post-rotting</t>
  </si>
  <si>
    <t>Closed composting/storage with biofilter</t>
  </si>
  <si>
    <t>Lean-burn engine</t>
  </si>
  <si>
    <t>Jet ignition engine</t>
  </si>
  <si>
    <t>Microturbine</t>
  </si>
  <si>
    <t>Template for EcoSpold files</t>
  </si>
  <si>
    <t>Ecospold Example with Explanations</t>
  </si>
  <si>
    <r>
      <t>Authors:</t>
    </r>
    <r>
      <rPr>
        <sz val="9"/>
        <rFont val="Helvetica"/>
      </rPr>
      <t xml:space="preserve"> Niels Jungbluth</t>
    </r>
  </si>
  <si>
    <t>Property Rights</t>
  </si>
  <si>
    <t>It is not permitted to distribute or copy this worksheet or parts of it to third parties or persons.</t>
  </si>
  <si>
    <t>Copyright Information</t>
  </si>
  <si>
    <t>Support</t>
  </si>
  <si>
    <t>ESU-services</t>
  </si>
  <si>
    <t>Revisions</t>
  </si>
  <si>
    <t>4.8.2005 (RS) - Added referencing for categories and subcategories also for Processes (Excel2Ecospold-Tool (V1.8) supports this extension already - Ecospold2Excel, however does not)</t>
  </si>
  <si>
    <t>12.9.2005 (RS) - Added validation fields (ProofReadingDetails) in X-Process, which are supported since EcoSpold 1.9</t>
  </si>
  <si>
    <t>12.9.2005 (RS) - Improved the intro documentation somewhat</t>
  </si>
  <si>
    <t>12.2.2006 (nj) - Changed colours for better results in print outs</t>
  </si>
  <si>
    <t>12.5.2015 (nj) - Improved the intro documentation somewhat</t>
  </si>
  <si>
    <t>Manual</t>
  </si>
  <si>
    <t>Start</t>
  </si>
  <si>
    <t>1) Please open always the names list while working with this file, otherwise you will experience a very slow performance (see also 2)</t>
  </si>
  <si>
    <t>2) Set the calculation to manual at the menu "Extra -&gt; Options -&gt; Calculations" (dt.: "Extras -&gt; Optionen -&gt; Berechnung". Use F9 to recalculate cells. On older computers recalculation can last a couple of seconds (or minutes if the names-list is not open or not linked correctly). Normally Excel recalculates after every input in a cell.</t>
  </si>
  <si>
    <t>About the Sheets</t>
  </si>
  <si>
    <t>There are different examples of ecospold processes in this file. One is a single output process (the ABS pipe) and the other is an example of a multioutput process (Silicon production). Normally you need the single output example as the template. To export it you have to rename it to X-Exchange. In X-Process you have to add the description of the process(es). X-Source contains the reference to the documents where your work or data is (will be) published. The persons mentioned in X-Person can be referenced in X-Process by their respective (arbitrary, but unique) number. The export function "Excel2Ecospold" only looks at X-Exchange, X-Process, X-Source and X-Person (other sheets are ignored). They must be present in the file for the export to work. If you want to also validate your process according to the XML-Schemata during export, you can turn on "Always validate Ecospold documents [...]" in the Ecospold options.</t>
  </si>
  <si>
    <t>Tips for filling in the Ecospold-Spreadsheet</t>
  </si>
  <si>
    <r>
      <t xml:space="preserve">1) Only enter or make changes to the </t>
    </r>
    <r>
      <rPr>
        <b/>
        <sz val="9"/>
        <color indexed="63"/>
        <rFont val="Helvetica"/>
      </rPr>
      <t>green cells</t>
    </r>
    <r>
      <rPr>
        <sz val="9"/>
        <color indexed="63"/>
        <rFont val="Helvetica"/>
      </rPr>
      <t>, except you know the standard deviation of your data. Then you can skip the Pedigree Matrix, but you need to make changes in columns M, N and O instead.</t>
    </r>
  </si>
  <si>
    <r>
      <t>2)</t>
    </r>
    <r>
      <rPr>
        <b/>
        <sz val="9"/>
        <color indexed="63"/>
        <rFont val="Helvetica"/>
      </rPr>
      <t xml:space="preserve"> If you need more rows:</t>
    </r>
    <r>
      <rPr>
        <sz val="9"/>
        <color indexed="63"/>
        <rFont val="Helvetica"/>
      </rPr>
      <t xml:space="preserve"> insert one (or several) new line at the place you want to add additional processes. Then COPY/PASTE an existing line (the whole line) and change the values in the green cells accordingly</t>
    </r>
  </si>
  <si>
    <r>
      <t xml:space="preserve">2) Be sure to </t>
    </r>
    <r>
      <rPr>
        <b/>
        <sz val="9"/>
        <color indexed="63"/>
        <rFont val="Helvetica"/>
      </rPr>
      <t>have the names list open</t>
    </r>
    <r>
      <rPr>
        <sz val="9"/>
        <color indexed="63"/>
        <rFont val="Helvetica"/>
      </rPr>
      <t xml:space="preserve"> to have the cells updated automatically or after </t>
    </r>
    <r>
      <rPr>
        <b/>
        <sz val="9"/>
        <color indexed="63"/>
        <rFont val="Helvetica"/>
      </rPr>
      <t>pressing F9</t>
    </r>
    <r>
      <rPr>
        <sz val="9"/>
        <color indexed="63"/>
        <rFont val="Helvetica"/>
      </rPr>
      <t>, when the calculating option is set to manual ("Extras"-&gt;"Options"-&gt;"Calculation")</t>
    </r>
  </si>
  <si>
    <t>Typical Workflow (using Pedigree Matrix)</t>
  </si>
  <si>
    <t>1) Search for the desired process in the names list "Names" or the elementary flow (emission or ressource) in "NamesElementary" and copy the index nr. to column A</t>
  </si>
  <si>
    <t>2) Change the Input/OutputGroup if necessery (column D and E)</t>
  </si>
  <si>
    <t>3) Enter the needed amount of process in column L, except for the reference flow in row 7 which is always 1</t>
  </si>
  <si>
    <t>4) Add a short comment, like the calculation procedure,...  in column P and the literature as cited in the report in the following column.</t>
  </si>
  <si>
    <t>5) Fill in the Pedigree Matrix</t>
  </si>
  <si>
    <t>6) (Press F9, if calculation in Excel is set to manual) Verify the entries and then restart with 1) for adding the next process</t>
  </si>
  <si>
    <t>Tips for exporting the Excel-Sheets to EcoSpold</t>
  </si>
  <si>
    <t xml:space="preserve">1) Only the process in X-Exchange will be exported to the EcoSpold file. </t>
  </si>
  <si>
    <t xml:space="preserve">2) Be sure there is not a single cell above the first Empty Line (delimiting the dataset) that contains cell or calculation errors, e.g. #NV, DIV/0,.... </t>
  </si>
  <si>
    <t>3) Common errors are a) cell A7 and L1 don't contain the same number (process), b) the process is lacking its description in X-Process, c) a formula in one or several cells has been deleted (copy from above or  below to correct)</t>
  </si>
  <si>
    <t>Names list of the ecoinvent project</t>
  </si>
  <si>
    <t>'[ecoinvent-v2.0-names.xlsx]</t>
  </si>
  <si>
    <t>[ecoinvent-v2.0-names.xlsx]</t>
  </si>
  <si>
    <t>End of process name</t>
  </si>
  <si>
    <t xml:space="preserve"> | Alloc Rec, U</t>
  </si>
  <si>
    <t>SheetForProcessNames</t>
  </si>
  <si>
    <t>NamesV3</t>
  </si>
  <si>
    <t>Type</t>
  </si>
  <si>
    <t>ID</t>
  </si>
  <si>
    <t>Field name, IndexNumber</t>
  </si>
  <si>
    <t>ReferenceFunction</t>
  </si>
  <si>
    <t>Name</t>
  </si>
  <si>
    <t>Geography</t>
  </si>
  <si>
    <t xml:space="preserve">InfrastructureProcess </t>
  </si>
  <si>
    <t>DataSetInformation</t>
  </si>
  <si>
    <t>Version</t>
  </si>
  <si>
    <t>energyValues</t>
  </si>
  <si>
    <t>LanguageCode</t>
  </si>
  <si>
    <t>en</t>
  </si>
  <si>
    <t>LocalLanguageCode</t>
  </si>
  <si>
    <t>de</t>
  </si>
  <si>
    <t>DataEntryBy</t>
  </si>
  <si>
    <t>Person</t>
  </si>
  <si>
    <t>QualityNetwork</t>
  </si>
  <si>
    <t>DataSetRelatesToProduct</t>
  </si>
  <si>
    <t>IncludedProcesses</t>
  </si>
  <si>
    <t>Amount</t>
  </si>
  <si>
    <t>LocalName</t>
  </si>
  <si>
    <t>Synonyms</t>
  </si>
  <si>
    <t>GeneralComment</t>
  </si>
  <si>
    <t>The module reflects an average pipe size for a cooling system with 104 kW.</t>
  </si>
  <si>
    <t xml:space="preserve">InfrastructureIncluded </t>
  </si>
  <si>
    <t>Category</t>
  </si>
  <si>
    <t>SubCategory</t>
  </si>
  <si>
    <t>LocalCategory</t>
  </si>
  <si>
    <t>LocalSubCategory</t>
  </si>
  <si>
    <t>Formula</t>
  </si>
  <si>
    <t>StatisticalClassification</t>
  </si>
  <si>
    <t>CASNumber</t>
  </si>
  <si>
    <t>TimePeriod</t>
  </si>
  <si>
    <t>StartDate</t>
  </si>
  <si>
    <t>EndDate</t>
  </si>
  <si>
    <t>DataValidForEntirePeriod</t>
  </si>
  <si>
    <t>OtherPeriodText</t>
  </si>
  <si>
    <t>Technology</t>
  </si>
  <si>
    <t>Representativeness</t>
  </si>
  <si>
    <t>Percent</t>
  </si>
  <si>
    <t>ProductionVolume</t>
  </si>
  <si>
    <t>unknown</t>
  </si>
  <si>
    <t>SamplingProcedure</t>
  </si>
  <si>
    <t>Extrapolations</t>
  </si>
  <si>
    <t>none</t>
  </si>
  <si>
    <t>UncertaintyAdjustments</t>
  </si>
  <si>
    <t>DataGeneratorAndPublication</t>
  </si>
  <si>
    <t>DataPublishedIn</t>
  </si>
  <si>
    <t>ReferenceToPublishedSource</t>
  </si>
  <si>
    <t>Copyright</t>
  </si>
  <si>
    <t>AccessRestrictedTo</t>
  </si>
  <si>
    <t>CompanyCode</t>
  </si>
  <si>
    <t>CountryCode</t>
  </si>
  <si>
    <t>PageNumbers</t>
  </si>
  <si>
    <t>ProofReading</t>
  </si>
  <si>
    <t>Validator</t>
  </si>
  <si>
    <t>Details</t>
  </si>
  <si>
    <t>OtherDetails</t>
  </si>
  <si>
    <t>Länge 724</t>
  </si>
  <si>
    <t>Field name</t>
  </si>
  <si>
    <t>Sources</t>
  </si>
  <si>
    <t>Number</t>
  </si>
  <si>
    <t>SourceType</t>
  </si>
  <si>
    <t>Report</t>
  </si>
  <si>
    <t>FirstAuthor</t>
  </si>
  <si>
    <t>Jungbluth N.</t>
  </si>
  <si>
    <t>AdditionalAuthors</t>
  </si>
  <si>
    <t>Year</t>
  </si>
  <si>
    <t>Title</t>
  </si>
  <si>
    <t>NameOfEditors</t>
  </si>
  <si>
    <t>TitleOfAnthology</t>
  </si>
  <si>
    <t>Project report</t>
  </si>
  <si>
    <t>PlaceOfPublication</t>
  </si>
  <si>
    <t>Schaffhausen, CH</t>
  </si>
  <si>
    <t>Publisher</t>
  </si>
  <si>
    <t>ESU-services Ltd.</t>
  </si>
  <si>
    <t>Journal</t>
  </si>
  <si>
    <t>VolumeNo</t>
  </si>
  <si>
    <t>IssueNo</t>
  </si>
  <si>
    <t>Persons</t>
  </si>
  <si>
    <t>Niels Jungbluth</t>
  </si>
  <si>
    <t>Christoph Meili</t>
  </si>
  <si>
    <t>Address</t>
  </si>
  <si>
    <t>Vorstadt 14, CH-8200 Schaffhausen</t>
  </si>
  <si>
    <t>Telephone</t>
  </si>
  <si>
    <t>0041 44 940 61 32</t>
  </si>
  <si>
    <t>0041 44 940 61 02</t>
  </si>
  <si>
    <t>Telefax</t>
  </si>
  <si>
    <t>0041 44 940 67 94</t>
  </si>
  <si>
    <t>Email</t>
  </si>
  <si>
    <t>meili@esu-services.ch</t>
  </si>
  <si>
    <t>info@esu-services.ch</t>
  </si>
  <si>
    <t xml:space="preserve">CompanyCode </t>
  </si>
  <si>
    <t>ESU</t>
  </si>
  <si>
    <t>CH</t>
  </si>
  <si>
    <t>IndexNumber</t>
  </si>
  <si>
    <t>Process:</t>
  </si>
  <si>
    <t>Index</t>
  </si>
  <si>
    <t>InputGroup</t>
  </si>
  <si>
    <t>OutputGroup</t>
  </si>
  <si>
    <t>InfrastructureProcess</t>
  </si>
  <si>
    <t>UncertaintyType</t>
  </si>
  <si>
    <t>StandardDeviation95%</t>
  </si>
  <si>
    <t>Literature</t>
  </si>
  <si>
    <t>Remarks</t>
  </si>
  <si>
    <t>Rel</t>
  </si>
  <si>
    <t>Comp</t>
  </si>
  <si>
    <t>Temp</t>
  </si>
  <si>
    <t>Geo</t>
  </si>
  <si>
    <t>Tech</t>
  </si>
  <si>
    <t>Code</t>
  </si>
  <si>
    <t>basic SDG^2</t>
  </si>
  <si>
    <t>Pedigree</t>
  </si>
  <si>
    <t>uncertainty code pedigree</t>
  </si>
  <si>
    <t>nA: not applicable: CV=1</t>
  </si>
  <si>
    <t>SDG^2</t>
  </si>
  <si>
    <t>product</t>
  </si>
  <si>
    <t>208-01</t>
  </si>
  <si>
    <t>own assumption</t>
  </si>
  <si>
    <t>208-27</t>
  </si>
  <si>
    <t>208-21</t>
  </si>
  <si>
    <t>208-09</t>
  </si>
  <si>
    <t>208-17</t>
  </si>
  <si>
    <t>208-32</t>
  </si>
  <si>
    <t>208-18</t>
  </si>
  <si>
    <t>208-23</t>
  </si>
  <si>
    <t>208-26</t>
  </si>
  <si>
    <t>208-80</t>
  </si>
  <si>
    <t>320-71</t>
  </si>
  <si>
    <t>208-75</t>
  </si>
  <si>
    <t>208-85</t>
  </si>
  <si>
    <t>565-052</t>
  </si>
  <si>
    <t>208-82</t>
  </si>
  <si>
    <t>208-92</t>
  </si>
  <si>
    <t>208-89</t>
  </si>
  <si>
    <t>244-21</t>
  </si>
  <si>
    <t>410-58</t>
  </si>
  <si>
    <t>316-06</t>
  </si>
  <si>
    <t>222-72</t>
  </si>
  <si>
    <t>208-12</t>
  </si>
  <si>
    <t>208-11</t>
  </si>
  <si>
    <t>208-10</t>
  </si>
  <si>
    <t>208-13</t>
  </si>
  <si>
    <t>208-16</t>
  </si>
  <si>
    <t>208-25</t>
  </si>
  <si>
    <t>208-14</t>
  </si>
  <si>
    <t>208-15</t>
  </si>
  <si>
    <t>208-24</t>
  </si>
  <si>
    <t>208-28</t>
  </si>
  <si>
    <t>208-07</t>
  </si>
  <si>
    <t>208-08</t>
  </si>
  <si>
    <t>208-20</t>
  </si>
  <si>
    <t>208-22</t>
  </si>
  <si>
    <t>DE</t>
  </si>
  <si>
    <t>HU</t>
  </si>
  <si>
    <t>This data set includes all inputs for the operation of the biogas plant.</t>
  </si>
  <si>
    <t>This dataset includes the reference values for all outputs of the biogas plant.</t>
  </si>
  <si>
    <t>biogas</t>
  </si>
  <si>
    <t>certifciation</t>
  </si>
  <si>
    <t>Biogas</t>
  </si>
  <si>
    <t>Zeritifizierung</t>
  </si>
  <si>
    <t>Digestions of biogenic waste in a biogas plant</t>
  </si>
  <si>
    <t>Reference value based on natural gas and other conventional systems</t>
  </si>
  <si>
    <t>Verein für umweltgerechte Energie (VUE)</t>
  </si>
  <si>
    <t>Handbuch für die naturemade Kennwertmodelle: Ökobilanzen für die Prüfung des globalen Kriteriums</t>
  </si>
  <si>
    <t>208-93</t>
  </si>
  <si>
    <t>208-94</t>
  </si>
  <si>
    <t>208-95</t>
  </si>
  <si>
    <t>208-96</t>
  </si>
  <si>
    <t>LCIAbg</t>
  </si>
  <si>
    <t>InputsBG</t>
  </si>
  <si>
    <t>DirekteEmissionen</t>
  </si>
  <si>
    <t>208-40</t>
  </si>
  <si>
    <t>208-35</t>
  </si>
  <si>
    <t>208-76</t>
  </si>
  <si>
    <t>208-42</t>
  </si>
  <si>
    <t>208-41</t>
  </si>
  <si>
    <t>208-78</t>
  </si>
  <si>
    <t>208-34</t>
  </si>
  <si>
    <t>208-77</t>
  </si>
  <si>
    <t>208-37</t>
  </si>
  <si>
    <t>208-39</t>
  </si>
  <si>
    <t>208-33</t>
  </si>
  <si>
    <t>208-38</t>
  </si>
  <si>
    <t>208-36</t>
  </si>
  <si>
    <t>entry in questionnaire</t>
  </si>
  <si>
    <t>Eingabewert</t>
  </si>
  <si>
    <t>Agriculture, manure and slurry from animal husbandry</t>
  </si>
  <si>
    <t>Dairy cow</t>
  </si>
  <si>
    <t>Young cattle &lt; 1 year old</t>
  </si>
  <si>
    <t>Young cattle 1 - 2 years old</t>
  </si>
  <si>
    <t>Bulls and cattle &gt; 2 years old</t>
  </si>
  <si>
    <t>Fattened calf</t>
  </si>
  <si>
    <t>Cattle fattening intensive 65-520 kg</t>
  </si>
  <si>
    <t>Horses over 3 years old</t>
  </si>
  <si>
    <t>Ewes or goats</t>
  </si>
  <si>
    <t>Breeding pigs</t>
  </si>
  <si>
    <t>Pigs for fattening / Remonten 25-100 kg</t>
  </si>
  <si>
    <t>Piglets 10-35 kg</t>
  </si>
  <si>
    <t>Breeding boar</t>
  </si>
  <si>
    <t>Laying hens</t>
  </si>
  <si>
    <t>Fattened chicken</t>
  </si>
  <si>
    <t>Apple pomace</t>
  </si>
  <si>
    <t>Bakery waste, confectionery waste, dough and flour residues</t>
  </si>
  <si>
    <t xml:space="preserve">Tree, vine and shrub pruning </t>
  </si>
  <si>
    <t>Brewer's grains ensilage</t>
  </si>
  <si>
    <t>Blood, fat separator residues, fish residues, meat waste</t>
  </si>
  <si>
    <t>Blood meal, animal meal</t>
  </si>
  <si>
    <t>Mushroom substrate, edible mushroom substrate</t>
  </si>
  <si>
    <t>De-icing water</t>
  </si>
  <si>
    <t>Faulty and test batches from the food industry (vegetable)</t>
  </si>
  <si>
    <t>Grease from grease separator</t>
  </si>
  <si>
    <t>Filter residues from food and luxury food production</t>
  </si>
  <si>
    <t>Fruit waste (oranges, lemons, bananas, pineapples, etc.)</t>
  </si>
  <si>
    <t>Amniotic fluid, sugar water</t>
  </si>
  <si>
    <t>Fermentation material from the food industry</t>
  </si>
  <si>
    <t>Glucose, sugar water, fruit juices</t>
  </si>
  <si>
    <t>Grass silage</t>
  </si>
  <si>
    <t>Urine, hides, skins, bristles, feathers, hair (pure)</t>
  </si>
  <si>
    <t>Yeast</t>
  </si>
  <si>
    <t>Medicinal herb residue</t>
  </si>
  <si>
    <t>Coffee grounds, disposals from production and preparation of coffee</t>
  </si>
  <si>
    <t>Cocoa husks</t>
  </si>
  <si>
    <t>Potatoes</t>
  </si>
  <si>
    <t>Cheese waste</t>
  </si>
  <si>
    <t>Gastrointestinal contents (pig)</t>
  </si>
  <si>
    <t>Mowed material Road embankments and edges</t>
  </si>
  <si>
    <t>Mowing material, (general, golf courses, nature reserves, reed, etc.)</t>
  </si>
  <si>
    <t>Maize silage</t>
  </si>
  <si>
    <t>Maize straw</t>
  </si>
  <si>
    <t>Mass- and content beet</t>
  </si>
  <si>
    <t>Material from washing, cleaning, peeling, centrifuging and separation processes (vegetable)</t>
  </si>
  <si>
    <t>Molasses</t>
  </si>
  <si>
    <t>Molasses pulp</t>
  </si>
  <si>
    <t>Manure from animal farms (slaughterhouses, circus, zoo, riding stables outside LZ)</t>
  </si>
  <si>
    <t>Whey</t>
  </si>
  <si>
    <t>Milling waste, grain disposal, oilseed residue</t>
  </si>
  <si>
    <t>Fruit, cereal, potato stills, general residues from distillery process</t>
  </si>
  <si>
    <t>Rumen content</t>
  </si>
  <si>
    <t>Rapeseed extraction meal, rapeseed cake</t>
  </si>
  <si>
    <t>Lawn cut, grass cut, fresh green waste</t>
  </si>
  <si>
    <t>Screenings, floating debris, waste material</t>
  </si>
  <si>
    <t>Rye silage (whole plant silage)</t>
  </si>
  <si>
    <t>Beet leaf</t>
  </si>
  <si>
    <t>Beet pulp</t>
  </si>
  <si>
    <t>Residues from the manufacture of canned food (vegetable)</t>
  </si>
  <si>
    <t>Residues from the manufacture of potato, maize or rice starch</t>
  </si>
  <si>
    <t>Sludges from food production (vegetable)</t>
  </si>
  <si>
    <t>Edible oil waste, edible fat waste, residues and sludges from oil and fat separators (not treated)</t>
  </si>
  <si>
    <t>Food leftovers from catering establishments</t>
  </si>
  <si>
    <t>Tobacco, tobacco dust, tobacco breeze, tobacco ribs, tobacco sludge</t>
  </si>
  <si>
    <t>Tea grains, tea substitutes, waste from production and preparation of tea</t>
  </si>
  <si>
    <t>Grape marc</t>
  </si>
  <si>
    <t>Wash water from biodiesel production</t>
  </si>
  <si>
    <t>Aquatic plants, reeds</t>
  </si>
  <si>
    <t>Wine lees, bustards, sludge from wine making</t>
  </si>
  <si>
    <t>Wool residues, dust (untreated)</t>
  </si>
  <si>
    <t>Wort residues, wort spent grains</t>
  </si>
  <si>
    <t>Chicory grains, cereal grains</t>
  </si>
  <si>
    <t>Sugar beet</t>
  </si>
  <si>
    <t>Energy crop silage</t>
  </si>
  <si>
    <t>Maize</t>
  </si>
  <si>
    <t>Green rye</t>
  </si>
  <si>
    <t>Clover grass</t>
  </si>
  <si>
    <t>Grass IP</t>
  </si>
  <si>
    <t>Grass Organic</t>
  </si>
  <si>
    <t>Extensive meadow</t>
  </si>
  <si>
    <t>Intense meadow</t>
  </si>
  <si>
    <t>Sewage sludge and similar substrates</t>
  </si>
  <si>
    <t>Fresh sludge, wet</t>
  </si>
  <si>
    <t>Digested sludge, wet</t>
  </si>
  <si>
    <t>Digested sludge, dewatered</t>
  </si>
  <si>
    <t>Domestic sewage sludge</t>
  </si>
  <si>
    <t>Slaughterhouse waste Category 1</t>
  </si>
  <si>
    <t>Back to the exam sheet</t>
  </si>
  <si>
    <t>Trotzdem Lagerart wählen!</t>
  </si>
  <si>
    <t>Choisissez néanmoins le type de roulement !</t>
  </si>
  <si>
    <t>Nevertheless choose storage type!</t>
  </si>
  <si>
    <t>examens</t>
  </si>
  <si>
    <t>Checks</t>
  </si>
  <si>
    <t>Reference, liquid manure storage</t>
  </si>
  <si>
    <t>Reference, fresh sewage sludge</t>
  </si>
  <si>
    <t>Limit value, cold</t>
  </si>
  <si>
    <t>Agriculture, dung tetter</t>
  </si>
  <si>
    <t>Total production electricity, gross</t>
  </si>
  <si>
    <t>Internal consumption of the plant from gross electricity production</t>
  </si>
  <si>
    <t>Allocation according to exergy content (ecoinvent)</t>
  </si>
  <si>
    <t>Limit value, biogas</t>
  </si>
  <si>
    <t>Faktor</t>
  </si>
  <si>
    <t>Traitement et stockage du digestat</t>
  </si>
  <si>
    <t>Distance simple pour la livraison du cosubstrat par tracteur</t>
  </si>
  <si>
    <t>Distance simple pour la livraison du cosubstrat par camion</t>
  </si>
  <si>
    <t>Distance moyenne de transport du cosubstrat par camion</t>
  </si>
  <si>
    <t>Compostage fermé avec bio filtre</t>
  </si>
  <si>
    <t>Méthode traitement digestat liquide</t>
  </si>
  <si>
    <t xml:space="preserve">Utilisation du digestat liquide </t>
  </si>
  <si>
    <t>Utilisation du digestat solide</t>
  </si>
  <si>
    <t>Résidus végétaux après lavage, nettoyage, épluchage, séparation et centrifugation</t>
  </si>
  <si>
    <t>Sérum de lait et de fermentation lactique, lait contenant de la pénicilline, lait écrémé, petit lait aigre, perméat de lait (résidus de la transformation du lait)</t>
  </si>
  <si>
    <t>Cosubstrat, résidus organiques</t>
  </si>
  <si>
    <t>Melassen Schlempe</t>
  </si>
  <si>
    <t>Allokation nach Exergie-Gehalt (ecoinvent)</t>
  </si>
  <si>
    <t>Vegetables, food waste</t>
  </si>
  <si>
    <t>Suckle cow (heavy)</t>
  </si>
  <si>
    <t>Flotation sludge (slaughterhouse)</t>
  </si>
  <si>
    <t>Milk and fermentation serum, penicillin milk, skimmed milk, sour whey, milk permeate (general residues from milk processing)</t>
  </si>
  <si>
    <t>Sorting and food waste (mushrooms, vegetables, fruits, etc.)</t>
  </si>
  <si>
    <t>Brewer's grains, malt grains, hop grains (and their -germ, -dust, -dull and -sludge)</t>
  </si>
  <si>
    <t>Glycerine from waste vegetable oil</t>
  </si>
  <si>
    <t>Glycerine from rapeseed oil</t>
  </si>
  <si>
    <t>Glycerine from soybean oil</t>
  </si>
  <si>
    <t>Glycerine from palm oil</t>
  </si>
  <si>
    <t>Incineration, cement kiln, 92% DM</t>
  </si>
  <si>
    <t>t FM - Tonnen Frischmasse</t>
  </si>
  <si>
    <t>t FM - tonnes fresh matter</t>
  </si>
  <si>
    <t>t FM - tonnes de matière fraîche</t>
  </si>
  <si>
    <t>EPD</t>
  </si>
  <si>
    <t>Zahl</t>
  </si>
  <si>
    <t>14.11.2018 - Englische Version</t>
  </si>
  <si>
    <t>Aktualisierung TS-Gehalte 2019 mit A. Wellinger &amp; A. Utiger auf Datengrundlage des Berichts "Bestimmung der TS- und OS-Gehalte von Ausgangsmaterialien für die Feststoffvergärung</t>
  </si>
  <si>
    <t>13.05.2019 - Anpassung TS-Gehalt Grüngut und Speisereste aus Gastronomiebetrieben</t>
  </si>
  <si>
    <t>Grüngut</t>
  </si>
  <si>
    <t>Green waste</t>
  </si>
  <si>
    <t>Déchets verts</t>
  </si>
  <si>
    <t>Abwasser, Papierfabrik</t>
  </si>
  <si>
    <t>Eaux usées, papeterie</t>
  </si>
  <si>
    <t>Effluent, paper mill</t>
  </si>
  <si>
    <t xml:space="preserve">Product 29: </t>
  </si>
  <si>
    <t xml:space="preserve">Product 30: </t>
  </si>
  <si>
    <t>Urea, as N, at regional storehouse/RER U</t>
  </si>
  <si>
    <t>Sodium hydroxide, 50% in H2O, production mix, at plant/RER U</t>
  </si>
  <si>
    <t>Hydrogen peroxide, 50% in H2O, at plant/RER U</t>
  </si>
  <si>
    <t>Iron (III) chloride, 40% in H2O, at plant/CH U</t>
  </si>
  <si>
    <t>Zwischenfrüchte ohne Konkurrenz zu Nahrungs- und Futtermitteln</t>
  </si>
  <si>
    <t>Les cultures intercalaires ne sont pas en concurrence avec les denrées alimentaires et les aliments pour animaux</t>
  </si>
  <si>
    <t>Intercrops not competing with food and feed</t>
  </si>
  <si>
    <t>Referenz, Abwasser, Papierfabrik</t>
  </si>
  <si>
    <t>Industrieabwässer und Substrate</t>
  </si>
  <si>
    <t>Eaux usées industrielles et substrats</t>
  </si>
  <si>
    <t>Industrial wastewater and substrates</t>
  </si>
  <si>
    <t>reference value, paper production effluent/kg/CH U</t>
  </si>
  <si>
    <t>treatment, paper production, pre-treated by digestion, to wastewater treatment, class 3/m3/CH U</t>
  </si>
  <si>
    <t>Chemikalien</t>
  </si>
  <si>
    <t>Chemicals</t>
  </si>
  <si>
    <t>Harnstoff</t>
  </si>
  <si>
    <t>NaOH</t>
  </si>
  <si>
    <t>Wasserstoffperoxid</t>
  </si>
  <si>
    <t>Eisenchlorid</t>
  </si>
  <si>
    <t>Urea</t>
  </si>
  <si>
    <t>Sodium hydroxide</t>
  </si>
  <si>
    <t>Hydrogen peroxide</t>
  </si>
  <si>
    <t>Iron (III) chloride</t>
  </si>
  <si>
    <t>v12.3</t>
  </si>
  <si>
    <t>peroxyde d'hydrogène</t>
  </si>
  <si>
    <t>chlorure ferrique</t>
  </si>
  <si>
    <t>x</t>
  </si>
  <si>
    <t>18.10.2019 - Erweiterung für Vergärung von Abwasser aus Papierfabrik, Definition von Energiepflanzen</t>
  </si>
  <si>
    <t>Abbau CSB in Vorklärung oder kommunaler Kläranlage</t>
  </si>
  <si>
    <t>Reference, waste water, paper mill</t>
  </si>
  <si>
    <t>Référence, eaux usées, papeterie</t>
  </si>
  <si>
    <t>Ecological Scarcity 2013, categories, res. cor. V1.03 / Ecological scarcity 2013</t>
  </si>
  <si>
    <t>1 m3 treatment, paper production, pre-treated by digestion, to wastewater treatment, class 3/m3/CH U (of project 208 naturemade KWM)</t>
  </si>
  <si>
    <t>9.12.2019 - Anpassungen zu Gaserträgen</t>
  </si>
  <si>
    <r>
      <t>m</t>
    </r>
    <r>
      <rPr>
        <vertAlign val="superscript"/>
        <sz val="10"/>
        <rFont val="Arial"/>
        <family val="2"/>
      </rPr>
      <t>3</t>
    </r>
    <r>
      <rPr>
        <sz val="10"/>
        <rFont val="Arial"/>
        <family val="2"/>
      </rPr>
      <t xml:space="preserve"> Biogas/a</t>
    </r>
  </si>
  <si>
    <t>v14</t>
  </si>
  <si>
    <t>Faktor Trocknung Klärschlamm 5% zu 32%</t>
  </si>
  <si>
    <t>22.1.2020 - Korrektur Transporte, Korrektur Referenzwert Klärschlamm, Neuberechnung Eco-indicator</t>
  </si>
  <si>
    <t>Substrat</t>
  </si>
  <si>
    <t>Güllelager</t>
  </si>
  <si>
    <t>Klärschlammverbrennung</t>
  </si>
  <si>
    <t>Substrate (Nebenprodukte, Abfälle, Reststoffe, etc.), entgegengenohmen</t>
  </si>
  <si>
    <t>Substrate (Nebenprodukte, Abfälle, Reststoffe, etc.), gekauft</t>
  </si>
  <si>
    <t>Schlachtabfälle</t>
  </si>
  <si>
    <t>Input</t>
  </si>
  <si>
    <t>Output, flüssig</t>
  </si>
  <si>
    <t>Entsorgung, Fest</t>
  </si>
  <si>
    <t>Vorbehandlung, fest</t>
  </si>
  <si>
    <t>Vorbehandlung, flüssig</t>
  </si>
  <si>
    <t>Gülle und Mist</t>
  </si>
  <si>
    <t>Belastung bei Klärschlamm auf Boden</t>
  </si>
  <si>
    <t>Entwässerung, Faulschlamm 27% TS</t>
  </si>
  <si>
    <t>Déshydratation, boues digérées (27% MS)</t>
  </si>
  <si>
    <t>Dewatering, digested sludge 27% DM</t>
  </si>
  <si>
    <t>Verbrennung, KVA, 27% TS</t>
  </si>
  <si>
    <t>Combustion, incinération des déchets (27% MS)</t>
  </si>
  <si>
    <t>Combustion, municipal waste incineration, 27% DM</t>
  </si>
  <si>
    <t>Alle Eingaben zum Substratinput erfolgen im Blatt Substrate</t>
  </si>
  <si>
    <t>All entries for substrate input are made in the sheet Substrate</t>
  </si>
  <si>
    <t>Toutes les entrées pour l'entrée des substrats sont faites dans les Substrate</t>
  </si>
  <si>
    <t>Biogas verbrannt in Heizung, BHKW</t>
  </si>
  <si>
    <t>Biogas verbrannt in Fackel</t>
  </si>
  <si>
    <t>Biogaz des torchères</t>
  </si>
  <si>
    <t>Biogas burned in flare</t>
  </si>
  <si>
    <t>Biogaz des chauffage, cogénération</t>
  </si>
  <si>
    <t>Biogas burned in heating, CHP</t>
  </si>
  <si>
    <t>1 kWh biogas, burned in production flare/MJ/GLO U (of project 208 naturemade KWM)</t>
  </si>
  <si>
    <t>biogas, burned in production flare/MJ/GLO U</t>
  </si>
  <si>
    <t>1 kWh biogas, burned in industrial furnace &gt;100kW/RER U (of project 208 naturemade KWM)</t>
  </si>
  <si>
    <t xml:space="preserve">Product 31: </t>
  </si>
  <si>
    <t>biogas, burned in industrial furnace &gt;100kW/RER U</t>
  </si>
  <si>
    <t>Heizung</t>
  </si>
  <si>
    <t>Furnace, heating</t>
  </si>
  <si>
    <t>Chauffage</t>
  </si>
  <si>
    <t>Sprache</t>
  </si>
  <si>
    <t>Language</t>
  </si>
  <si>
    <t>Langue</t>
  </si>
  <si>
    <t>Abfallsubstrate</t>
  </si>
  <si>
    <t>Substrats pour l'installation</t>
  </si>
  <si>
    <t>Waste substrates</t>
  </si>
  <si>
    <t>Landwirtschaft, Umrechnung aus Tierbestand</t>
  </si>
  <si>
    <t>Agriculture, part provenant de l'élevage</t>
  </si>
  <si>
    <t>Agriculture, conversion from livestock</t>
  </si>
  <si>
    <t>Energiepflanzen</t>
  </si>
  <si>
    <t>Plantes énergétiques</t>
  </si>
  <si>
    <t>Energy plants</t>
  </si>
  <si>
    <t>18.2.2020 - Eingabe Fackel, Heizung. Verbesserungen Layout, Änderung Gärschlammentsorgung</t>
  </si>
  <si>
    <t>Biomethan: Verkauf und Verbrauch ausserhalb der Anlage (11.4 kWh Ho/m3)</t>
  </si>
  <si>
    <t>Biométhane: vente et conso. hors installation (11.4 kWh Ho/m3)</t>
  </si>
  <si>
    <t>Biomethane: sales and consumption outside the plant (11.4 kWh Ho/m3)</t>
  </si>
  <si>
    <t>Zündölverbrauch (11.4 kWh Ho/kg)</t>
  </si>
  <si>
    <t>Consommation de diesel d'allumage (11.4 kWh Ho/kg)</t>
  </si>
  <si>
    <t>Ignition oil consumption (11.4 kWh Ho/kg)</t>
  </si>
  <si>
    <t>Dieselverbrauch (11.4 kWh Ho/Liter)</t>
  </si>
  <si>
    <t>Consommation de diesel (11.4 kWh Ho/litre)</t>
  </si>
  <si>
    <t>Diesel consumption (11.4 kWh Ho/litre)</t>
  </si>
  <si>
    <t>Gesamtproduktion Biogas, Brutto (Default 6.5 kWh Ho/m3 Biogas)</t>
  </si>
  <si>
    <t>Quantité totale de biogaz, brut (6.5 kWh Ho/m3)</t>
  </si>
  <si>
    <t>Total production biogas, gross (default 6.5 kWh Ho/m3 biogas)</t>
  </si>
  <si>
    <t>Biogas: Verkauf und Verbrauch ausserhalb der Anlage (6.5 kWh Ho/m3)</t>
  </si>
  <si>
    <t>Biogaz: vente et conso. hors installation (6.5 kWh Ho/m3)</t>
  </si>
  <si>
    <t>Biogas: sale and consumption outside the plant (6.5 kWh Ho/m3)</t>
  </si>
  <si>
    <t>20.3.2020 - Neuberechnung Ökobilanzdaten</t>
  </si>
  <si>
    <t>v15.b</t>
  </si>
  <si>
    <t xml:space="preserve">Product 32: </t>
  </si>
  <si>
    <t xml:space="preserve">Product 33: </t>
  </si>
  <si>
    <t xml:space="preserve">Product 34: </t>
  </si>
  <si>
    <t xml:space="preserve">Product 35: </t>
  </si>
  <si>
    <t xml:space="preserve">Product 36: </t>
  </si>
  <si>
    <t xml:space="preserve">Product 37: </t>
  </si>
  <si>
    <t xml:space="preserve">Product 38: </t>
  </si>
  <si>
    <t>apple ÖLN, at farm/kg/CH S</t>
  </si>
  <si>
    <t>bread, at bakery/kg/CH S</t>
  </si>
  <si>
    <t>meat mixed, IP, at slaughterhouse/kg/CH S</t>
  </si>
  <si>
    <t>vegetables mean, IP, at farm/kg/CH S</t>
  </si>
  <si>
    <t>by-products, wheat milling, at plant/kg/CH S</t>
  </si>
  <si>
    <t>yeast, at plant/kg/RER S</t>
  </si>
  <si>
    <t>raw milk, silo zone, at farm/kg/CH S</t>
  </si>
  <si>
    <t>whey, at cheese dairy/kg/CH S</t>
  </si>
  <si>
    <t>Gärreste Behandlung und Lagerung</t>
  </si>
  <si>
    <t>Méthode traitement digestat</t>
  </si>
  <si>
    <t>Offenes Gärrestlager/Nachgärung</t>
  </si>
  <si>
    <t>Geschlossenes Gärrestlager/Nachgärung mit Gasnutzung</t>
  </si>
  <si>
    <t>Verwendung flüssige Gärreste</t>
  </si>
  <si>
    <t>Verwendung feste Gärreste</t>
  </si>
  <si>
    <t>19.5.2020 - Gärgut/Gärrückstände nach Gärrest umbenannt</t>
  </si>
  <si>
    <t>Use of liquid digestate</t>
  </si>
  <si>
    <t>Use of solid digestate</t>
  </si>
  <si>
    <t>Behandlung Gärrest</t>
  </si>
  <si>
    <t>Behandlung flüssiger Gärrest</t>
  </si>
  <si>
    <t>Treatment of liquid digestate</t>
  </si>
  <si>
    <t>Treatment of digestate</t>
  </si>
  <si>
    <t>Great Britain</t>
  </si>
  <si>
    <t>Großbritannien</t>
  </si>
  <si>
    <t>Grande-Bretagne</t>
  </si>
  <si>
    <t>Electricity, medium voltage {GB}| market for | Cut-off, S</t>
  </si>
  <si>
    <t>v16</t>
  </si>
  <si>
    <t>reference value, manure/kg/GB U</t>
  </si>
  <si>
    <t>EUR</t>
  </si>
  <si>
    <t>HUF</t>
  </si>
  <si>
    <t>DKK</t>
  </si>
  <si>
    <t>GBP</t>
  </si>
  <si>
    <t>CHF</t>
  </si>
  <si>
    <t>Wechselkurse 17.11.2020</t>
  </si>
  <si>
    <t>Umrechnung von GBP zu CHF</t>
  </si>
  <si>
    <t>Preisschätzung GB</t>
  </si>
  <si>
    <t>EI/GBP</t>
  </si>
  <si>
    <t>EI/DKK</t>
  </si>
  <si>
    <t>EI/EUR</t>
  </si>
  <si>
    <t>1 kWh Electricity, medium voltage {GB}| market for | Cut-off, S (of project Ecoinvent 3 - allocation, cut-off by classification - system)</t>
  </si>
  <si>
    <t>Estimation new prices 2020</t>
  </si>
  <si>
    <t>Wardley, substrates</t>
  </si>
  <si>
    <t>Riverside, substrates</t>
  </si>
  <si>
    <t>Lemming, substrates</t>
  </si>
  <si>
    <t>Auswahlhilfe Anlagentyp</t>
  </si>
  <si>
    <t>Bezeichnung/Auswahl</t>
  </si>
  <si>
    <t>Grüngut und industrielle Vergärungsanlagen</t>
  </si>
  <si>
    <t xml:space="preserve">Product 39: </t>
  </si>
  <si>
    <t>Hay intensive IP, at farm/CH U</t>
  </si>
  <si>
    <t>Potatoes IP, at farm/CH U</t>
  </si>
  <si>
    <t>Soybean lecithin, at oil mill/GLO U</t>
  </si>
  <si>
    <t>Lecithin</t>
  </si>
  <si>
    <t xml:space="preserve">Lecithin </t>
  </si>
  <si>
    <t xml:space="preserve">Lécithine </t>
  </si>
  <si>
    <t>diesel, burned in building machine, average/MJ/CH U</t>
  </si>
  <si>
    <t>Grenzwert LRV wird nicht eingehalten oder Eingabe NOx fehlt.</t>
  </si>
  <si>
    <t>Efficacité énergétique de l'utilisation du biogaz &gt;1</t>
  </si>
  <si>
    <t>L'entrée et la sortie de l'usine de biogaz ne correspondent pas (écart maximal de 25%)</t>
  </si>
  <si>
    <t>Si des boues d'épuration ou des substrats similaires sont utilisés, le résidu de fermentation doit être incinéré.</t>
  </si>
  <si>
    <t>La quantité de substrat encrassé est supérieure à l'entrée</t>
  </si>
  <si>
    <t>Energy efficiency of biogas use &gt;1</t>
  </si>
  <si>
    <t>If sewage sludge or similar substrates are used, the fermentation residue must be incinerated.</t>
  </si>
  <si>
    <t>Fouled substrate quantity is greater than input</t>
  </si>
  <si>
    <t>Auswahlmatrix für gewählte Sprache ausfüllen</t>
  </si>
  <si>
    <t>Remplir la matrice de sélection pour la langue sélectionnée</t>
  </si>
  <si>
    <t>Fill in selection matrix for selected language</t>
  </si>
  <si>
    <t>Bitte wählen Sie das Land in dem die Anlage steht</t>
  </si>
  <si>
    <t>Mehr als 3% (mit BHKW) bzw. 7% (ohne BHKW) der produzierten Biogasmenge werden abgefackelt</t>
  </si>
  <si>
    <t>La valeur limite OPair n'est pas observée ou l'entrée NOx est manquante.</t>
  </si>
  <si>
    <t>Ausgefaulte Substratmenge ist grösser als Input</t>
  </si>
  <si>
    <t>Gasertrag grösser als 125% des theoretischen Ertrages oder fehlende Eingabe</t>
  </si>
  <si>
    <t>Input and output of the biogas plant do not match (max 25% deviation)</t>
  </si>
  <si>
    <t>Plus de 3% (avec cogénération) ou 7% (sans cogénération) de la quantité de biogaz produite est brûlée à la torche</t>
  </si>
  <si>
    <t>More than 3% (with CHP) or 7% (without CHP) of the gas produced is burned in a flare</t>
  </si>
  <si>
    <t>Rest- und Abfallstoffe</t>
  </si>
  <si>
    <t>Residual and waste materials</t>
  </si>
  <si>
    <t>Matières résiduelles et déchets</t>
  </si>
  <si>
    <t>Wenn Anzahl Tiere unbekannt Wert für Tiere durch ausprobieren in J abschätzen bis Tonnen stimmen</t>
  </si>
  <si>
    <t>Hinweise und Warnungen</t>
  </si>
  <si>
    <t>Sprachen</t>
  </si>
  <si>
    <t>Glycerin</t>
  </si>
  <si>
    <t>Prüfwert naturemade star</t>
  </si>
  <si>
    <t>naturemade star zertifizierbare Energiemenge</t>
  </si>
  <si>
    <t>Gas</t>
  </si>
  <si>
    <t>Strom</t>
  </si>
  <si>
    <t>Wärme</t>
  </si>
  <si>
    <t>Französisch</t>
  </si>
  <si>
    <t>Englisch</t>
  </si>
  <si>
    <t>Referenzzeitraum</t>
  </si>
  <si>
    <t>Période de référence:</t>
  </si>
  <si>
    <t>Reference period</t>
  </si>
  <si>
    <t>Anlage</t>
  </si>
  <si>
    <t>Nom</t>
  </si>
  <si>
    <t>Plant</t>
  </si>
  <si>
    <t>Installation</t>
  </si>
  <si>
    <t>Anlagentyp</t>
  </si>
  <si>
    <t>Dimensions du digesteur</t>
  </si>
  <si>
    <t>Type d'installation</t>
  </si>
  <si>
    <t>Plant type</t>
  </si>
  <si>
    <t>Inputs für die Anlage</t>
  </si>
  <si>
    <t>Systemgrenzen beachten</t>
  </si>
  <si>
    <t>respecter limites système</t>
  </si>
  <si>
    <t>observe system limits</t>
  </si>
  <si>
    <t>Netzstrom</t>
  </si>
  <si>
    <t>nicht zertifiziert</t>
  </si>
  <si>
    <t>Abzuziehen zur Berechnung der Nettoenergie</t>
  </si>
  <si>
    <t>naturemade star Prüfung: Energieprodukte aus Biogasanlagen</t>
  </si>
  <si>
    <t>naturemade star certification: Energy products from biogas plants</t>
  </si>
  <si>
    <t>Nachweis mit Zertifikat/HKN</t>
  </si>
  <si>
    <t>Energieprodukte</t>
  </si>
  <si>
    <t>Bruttoproduktion Strom</t>
  </si>
  <si>
    <t>Eigenverbrauch aus Bruttostromproduktion</t>
  </si>
  <si>
    <t>Total Energieprodukte</t>
  </si>
  <si>
    <t>Gärreste</t>
  </si>
  <si>
    <t>Gärreste fest</t>
  </si>
  <si>
    <t>Gärreste flüssig</t>
  </si>
  <si>
    <t>Total Gärreste</t>
  </si>
  <si>
    <t>xxx</t>
  </si>
  <si>
    <t>Resultate</t>
  </si>
  <si>
    <t>Eingaben sind vollständig und Prüfung ist möglich</t>
  </si>
  <si>
    <t>Weiter zur Resultatübersicht (Tabellenblatt "Results")</t>
  </si>
  <si>
    <t>Die Daten sind plausibel</t>
  </si>
  <si>
    <t>Die Daten sind nicht plausibel, bitte überprüfen Sie Ihre Eingaben</t>
  </si>
  <si>
    <t>unterer Heizwert</t>
  </si>
  <si>
    <t>Biogas Verluste</t>
  </si>
  <si>
    <t xml:space="preserve">Biomethan: Verkauf und ausserhalb Verbrauch </t>
  </si>
  <si>
    <t>Biogas: Verkauf und ausserhalb Verbrauch</t>
  </si>
  <si>
    <t>Einspeisung in Fernwärmenetz</t>
  </si>
  <si>
    <t>Die Nutzung von Energiepflanzen ist nicht erlaubt</t>
  </si>
  <si>
    <t>Ausgaben für Substrate</t>
  </si>
  <si>
    <t>Ausgaben für Klärschlamm</t>
  </si>
  <si>
    <t>Einnahmen Klärschlammentsorgung</t>
  </si>
  <si>
    <t>Einnahmen Substratentsorgung</t>
  </si>
  <si>
    <t>Prüfungen, incl. Sprachtest</t>
  </si>
  <si>
    <t xml:space="preserve">Product 40: </t>
  </si>
  <si>
    <t xml:space="preserve">Product 41: </t>
  </si>
  <si>
    <t xml:space="preserve">Product 42: </t>
  </si>
  <si>
    <t xml:space="preserve">Product 43: </t>
  </si>
  <si>
    <t xml:space="preserve">Product 44: </t>
  </si>
  <si>
    <t xml:space="preserve">Product 45: </t>
  </si>
  <si>
    <t xml:space="preserve">Product 46: </t>
  </si>
  <si>
    <t xml:space="preserve">Product 47: </t>
  </si>
  <si>
    <t xml:space="preserve">Product 48: </t>
  </si>
  <si>
    <t xml:space="preserve">Product 49: </t>
  </si>
  <si>
    <t xml:space="preserve">Product 50: </t>
  </si>
  <si>
    <t xml:space="preserve">Product 51: </t>
  </si>
  <si>
    <t xml:space="preserve">Product 52: </t>
  </si>
  <si>
    <t xml:space="preserve">Product 53: </t>
  </si>
  <si>
    <t xml:space="preserve">Product 54: </t>
  </si>
  <si>
    <t xml:space="preserve">Product 55: </t>
  </si>
  <si>
    <t xml:space="preserve">Product 56: </t>
  </si>
  <si>
    <t xml:space="preserve">Product 57: </t>
  </si>
  <si>
    <t xml:space="preserve">Product 58: </t>
  </si>
  <si>
    <t xml:space="preserve">Product 59: </t>
  </si>
  <si>
    <t xml:space="preserve">Product 60: </t>
  </si>
  <si>
    <t xml:space="preserve">Product 61: </t>
  </si>
  <si>
    <t xml:space="preserve">Product 62: </t>
  </si>
  <si>
    <t xml:space="preserve">Product 63: </t>
  </si>
  <si>
    <t xml:space="preserve">Product 64: </t>
  </si>
  <si>
    <t xml:space="preserve">Product 65: </t>
  </si>
  <si>
    <t xml:space="preserve">Product 66: </t>
  </si>
  <si>
    <t xml:space="preserve">Product 67: </t>
  </si>
  <si>
    <t xml:space="preserve">Product 68: </t>
  </si>
  <si>
    <t xml:space="preserve">Product 69: </t>
  </si>
  <si>
    <t xml:space="preserve">Product 70: </t>
  </si>
  <si>
    <t xml:space="preserve">Product 71: </t>
  </si>
  <si>
    <t xml:space="preserve">Product 72: </t>
  </si>
  <si>
    <t xml:space="preserve">Product 73: </t>
  </si>
  <si>
    <t xml:space="preserve">Product 74: </t>
  </si>
  <si>
    <t xml:space="preserve">Product 75: </t>
  </si>
  <si>
    <t xml:space="preserve">Product 76: </t>
  </si>
  <si>
    <t xml:space="preserve">Product 77: </t>
  </si>
  <si>
    <t xml:space="preserve">Product 78: </t>
  </si>
  <si>
    <t xml:space="preserve">Product 79: </t>
  </si>
  <si>
    <t xml:space="preserve">Product 80: </t>
  </si>
  <si>
    <t xml:space="preserve">Product 81: </t>
  </si>
  <si>
    <t xml:space="preserve">Product 82: </t>
  </si>
  <si>
    <t xml:space="preserve">Product 83: </t>
  </si>
  <si>
    <t xml:space="preserve">Product 84: </t>
  </si>
  <si>
    <t xml:space="preserve">Product 85: </t>
  </si>
  <si>
    <t xml:space="preserve">Product 86: </t>
  </si>
  <si>
    <t xml:space="preserve">Product 87: </t>
  </si>
  <si>
    <t xml:space="preserve">Product 88: </t>
  </si>
  <si>
    <t xml:space="preserve">Product 89: </t>
  </si>
  <si>
    <t>Rape oil, at oil mill/RER U</t>
  </si>
  <si>
    <t>Rape meal, at oil mill/RER U</t>
  </si>
  <si>
    <t>SimaPro Process</t>
  </si>
  <si>
    <t>SimaPro</t>
  </si>
  <si>
    <t>light fuel oil, burned in industrial furnace 1MW, non-modulating/MJ/RER U</t>
  </si>
  <si>
    <t>Heat from waste, at municipal waste incineration plant/CH U</t>
  </si>
  <si>
    <t>Pellets, mixed, burned in furnace 50kW/CH U</t>
  </si>
  <si>
    <t>Wood chips, from forest, mixed, burned in furnace 1000kW/CH U</t>
  </si>
  <si>
    <t>electricity, medium voltage, naturemade star, at grid/CH U</t>
  </si>
  <si>
    <t xml:space="preserve">Product 90: </t>
  </si>
  <si>
    <t xml:space="preserve">Product 91: </t>
  </si>
  <si>
    <t xml:space="preserve">Product 92: </t>
  </si>
  <si>
    <t xml:space="preserve">Product 93: </t>
  </si>
  <si>
    <t xml:space="preserve">Product 94: </t>
  </si>
  <si>
    <t xml:space="preserve">Product 95: </t>
  </si>
  <si>
    <t xml:space="preserve">Product 96: </t>
  </si>
  <si>
    <t xml:space="preserve">Product 97: </t>
  </si>
  <si>
    <t>Heat, digester sludge, at incineration plant, future, allocation price/CH U</t>
  </si>
  <si>
    <t>tap water, unspecified natural origin RER, at user/kg/RER U</t>
  </si>
  <si>
    <t>v17</t>
  </si>
  <si>
    <t>Total Fremdenergieverbrauch</t>
  </si>
  <si>
    <t>transport, freight, lorry 16-32 metric ton, fleet average/RER U</t>
  </si>
  <si>
    <t>Tonnenkilometer Transport, Traktor</t>
  </si>
  <si>
    <t>Tonnenkilometer Transport, Lkw</t>
  </si>
  <si>
    <t>Tonnenkilometer Transport, Total</t>
  </si>
  <si>
    <t>Notes et avertissements</t>
  </si>
  <si>
    <t>Notes and warnings</t>
  </si>
  <si>
    <t>Please select the country in which the plant is located</t>
  </si>
  <si>
    <t>Veuillez sélectionner le pays dans lequel l'installation est située</t>
  </si>
  <si>
    <t>All entries for the substrate input are made in the "Substrates" sheet</t>
  </si>
  <si>
    <t>Toutes les entrées pour l'entrée des substrats sont faites dans la feuille "Substrats".</t>
  </si>
  <si>
    <t>Methanschlupf ist grösser als 1% der produzierten Biogasmenge!</t>
  </si>
  <si>
    <t>Le glissement du méthane est supérieur à 1 % du biogaz produit !</t>
  </si>
  <si>
    <t>Methane slip is greater than 1% of the amount of biogas produced!</t>
  </si>
  <si>
    <t>Strom- und Wärmeproduktion ist grösser als Biogas in BHKW</t>
  </si>
  <si>
    <t>La production d'électricité et de chaleur est supérieure à celle du biogaz de l'unité de cogénération</t>
  </si>
  <si>
    <t>Electricity and heat production is greater than biogas in CHP unit</t>
  </si>
  <si>
    <t>Energetische Effizienz der Biogasnutzung &gt;1</t>
  </si>
  <si>
    <t>Achtung, eine Teilprüfung (oben) wurde nicht bestanden</t>
  </si>
  <si>
    <t>Attention, un test partiel (ci-dessus) n'a pas été réussi</t>
  </si>
  <si>
    <t>Attention, a partial test (above) was not passed</t>
  </si>
  <si>
    <t>Part du chauffage à distance dans les combustibles et la chaleur</t>
  </si>
  <si>
    <t>Share of district heating in fuels and heat</t>
  </si>
  <si>
    <t>Total external energy consumption</t>
  </si>
  <si>
    <t>To be deducted for calculation of net energy</t>
  </si>
  <si>
    <t>Consommation totale d'énergie externe</t>
  </si>
  <si>
    <t>A déduire pour calculer l'énergie nette</t>
  </si>
  <si>
    <t>Type of use</t>
  </si>
  <si>
    <t>Biogas: Art der lokalen Nutzung</t>
  </si>
  <si>
    <t>Biogaz : Type de utilisation locale</t>
  </si>
  <si>
    <t>Biogas: Type of local use</t>
  </si>
  <si>
    <t>Elektrischer Wirkungsgrad</t>
  </si>
  <si>
    <t>Efficacité énergétique</t>
  </si>
  <si>
    <t>Electrical efficiency</t>
  </si>
  <si>
    <t>Courant : vente et consommation hors de l'installation</t>
  </si>
  <si>
    <t xml:space="preserve">Courant </t>
  </si>
  <si>
    <t>Electricity</t>
  </si>
  <si>
    <t>Kehrichtverbrennungsanlage</t>
  </si>
  <si>
    <t>Municipal Waste incineration plant</t>
  </si>
  <si>
    <t>Incinération des boues d'épuration</t>
  </si>
  <si>
    <t>Sewage sludge incineration</t>
  </si>
  <si>
    <t>not certified</t>
  </si>
  <si>
    <t>renewable, other certificates</t>
  </si>
  <si>
    <t>non certifié</t>
  </si>
  <si>
    <t>renouvelable, autres certificats</t>
  </si>
  <si>
    <t>Energy products</t>
  </si>
  <si>
    <t>Produits énergétiques</t>
  </si>
  <si>
    <t>Alimentation du réseau de chaleur</t>
  </si>
  <si>
    <t>Lokale Wärmenutzung: Verkauf, Verbrauch i.d. Nähe der Anlage</t>
  </si>
  <si>
    <t>Utilisation locale de la chaleur : vente, conso. à proximité de de l'installation</t>
  </si>
  <si>
    <t>Chaleur</t>
  </si>
  <si>
    <t>Heat</t>
  </si>
  <si>
    <t>Art der Verwendung</t>
  </si>
  <si>
    <t>Art der Behandlung</t>
  </si>
  <si>
    <t>Type de traitement</t>
  </si>
  <si>
    <t>Einfache Distanz Anlage - Entsorgung/Ausbringung</t>
  </si>
  <si>
    <t>Digestat solide</t>
  </si>
  <si>
    <t>Type d'utilisation</t>
  </si>
  <si>
    <t>Coûts / rendement pour l'élimination / l'épandage</t>
  </si>
  <si>
    <t>Installation à distance simple - l'élimination/l'épandage</t>
  </si>
  <si>
    <t>Type of treatment</t>
  </si>
  <si>
    <t>Costs/yield for disposal/spreading</t>
  </si>
  <si>
    <t>Simple distance plant - disposal/spreading</t>
  </si>
  <si>
    <t>Digestat liquide</t>
  </si>
  <si>
    <t>Total Tonnenkilometer Entsorgung/Ausbringung</t>
  </si>
  <si>
    <t>Total digestate</t>
  </si>
  <si>
    <t>Total quantity</t>
  </si>
  <si>
    <t>Total costs/yield</t>
  </si>
  <si>
    <t>Total tonne-kilometres disposal/spreading</t>
  </si>
  <si>
    <t>Total Menge</t>
  </si>
  <si>
    <t>Total Kosten/Ertrag</t>
  </si>
  <si>
    <t>Total des résidus de fermentation</t>
  </si>
  <si>
    <t>Quantité totale</t>
  </si>
  <si>
    <t>Résultats</t>
  </si>
  <si>
    <t>Results</t>
  </si>
  <si>
    <t>Les entrées sont complètes et la vérification est possible</t>
  </si>
  <si>
    <t>Entries are complete and verification is possible</t>
  </si>
  <si>
    <t>Continue to the results overview (worksheet "Results")</t>
  </si>
  <si>
    <t>Eingaben Substratinput im Blatt "Substrates"</t>
  </si>
  <si>
    <t>Verwertung Energiepflanzen nicht gestattet</t>
  </si>
  <si>
    <t>Utilisation of energy crops not permitted</t>
  </si>
  <si>
    <t>L'utilisation de cultures énergétiques n'est pas autorisée</t>
  </si>
  <si>
    <t>Preuve avec certificat / garantie d’origine</t>
  </si>
  <si>
    <t>Proof with certificate / guarantee of origin</t>
  </si>
  <si>
    <t>Finanzieller Ertrag (plus) bzw. Aufwand (minus), ohne Transportkosten</t>
  </si>
  <si>
    <t xml:space="preserve">Revenus (+) ou Dépenses (-), sauf frais de transport </t>
  </si>
  <si>
    <t>Financial income (plus) or expense (minus), excluding transport costs</t>
  </si>
  <si>
    <t>Fremdenergieverbrauch der Biogasanlage (ohne Eigenverbrauch)</t>
  </si>
  <si>
    <t>Consommation d'énergie externe de l`installation de biogaz (sans consommation propre)</t>
  </si>
  <si>
    <t>External energy consumption of the biogas plant (without internal consumption)</t>
  </si>
  <si>
    <t>erneuerbar, naturemade star</t>
  </si>
  <si>
    <t>erneuerbar, andere Zertifikate</t>
  </si>
  <si>
    <t>Anteil Fernwärme an Brennstoffen und Wärme</t>
  </si>
  <si>
    <t xml:space="preserve">renouvelable, naturemade star </t>
  </si>
  <si>
    <t>renewable, naturemade star</t>
  </si>
  <si>
    <t>Input und Output der Biogasanlage stimmen nicht überein (max. 25% Abweichung)</t>
  </si>
  <si>
    <t>Eco-indicator 99 Punkte</t>
  </si>
  <si>
    <t>Eco-indicator 99 points</t>
  </si>
  <si>
    <t>electricity, medium voltage, renewable, at grid/kWh/RER U</t>
  </si>
  <si>
    <t>biomethane, naturemade star, burned in boiler condensing modulating &gt;100kW/RER U</t>
  </si>
  <si>
    <t>biomethane, burned in boiler condensing modulating &gt;100kW/RER U</t>
  </si>
  <si>
    <t>Strom aus BHKW</t>
  </si>
  <si>
    <t>Utilisation totale de biogaz, brute</t>
  </si>
  <si>
    <t>Kehrichtverbrennungsanlage, naturemade resources star</t>
  </si>
  <si>
    <t>Municipal Waste incineration plant, naturemade resources star</t>
  </si>
  <si>
    <t>Usine d'incinération des ordures ménagères</t>
  </si>
  <si>
    <t>Werte aus naturemade Zertifizierung, Mittelwert 10.2.2021</t>
  </si>
  <si>
    <t>Werte aus Treeze KVA naturemade Zertifizierungsbericht</t>
  </si>
  <si>
    <t>reference value, manure/kg/ES U</t>
  </si>
  <si>
    <t>Aktuell</t>
  </si>
  <si>
    <t>v18</t>
  </si>
  <si>
    <t>0.0001 p anaerobic digestion plant covered, agriculture/CH/I U (of project ESU database 2021 UVEK)</t>
  </si>
  <si>
    <t>1.2E-5 p Anaerobic digestion plant, sewage sludge/CH/I U (of project ESU database 2021 UVEK)</t>
  </si>
  <si>
    <t>6.67E-5 p anaerobic digestion plant, biowaste/CH/I U (of project ESU database 2021 UVEK)</t>
  </si>
  <si>
    <t>1 ton tap water, unspecified natural origin RER, at user/kg/RER U (of project ESU database 2021 UVEK)</t>
  </si>
  <si>
    <t>1 kWh Electricity, medium voltage {ES}| market for | Cut-off, S (of project Ecoinvent 3 - allocation, cut-off by classification - system)</t>
  </si>
  <si>
    <t>1 kWh electricity, medium voltage, naturemade star, at grid/CH U (of project 208 naturemade KWM)</t>
  </si>
  <si>
    <t>1 kWh electricity, medium voltage, renewable, at grid/kWh/RER U (of project ESU database 2021 UVEK)</t>
  </si>
  <si>
    <t>1 kWh light fuel oil, burned in industrial furnace 1MW, non-modulating/MJ/RER U (of project ESU database 2021 UVEK)</t>
  </si>
  <si>
    <t>1 kWh diesel, burned in building machine, average/MJ/CH U (of project ESU database 2021 UVEK)</t>
  </si>
  <si>
    <t>1 kWh Natural gas, burned in boiler condensing modulating &gt;100kW/RER U (of project ESU database 2021 UVEK)</t>
  </si>
  <si>
    <t>1 kWh biomethane, burned in boiler condensing modulating &gt;100kW/RER U (of project 208 naturemade KWM)</t>
  </si>
  <si>
    <t>1 kWh biomethane, naturemade star, burned in boiler condensing modulating &gt;100kW/RER U (of project 208 naturemade KWM)</t>
  </si>
  <si>
    <t>1 kWh Heat from waste, at municipal waste incineration plant/CH U (of project ESU database 2021 UVEK)</t>
  </si>
  <si>
    <t>1 kWh Heat, digester sludge, at incineration plant, future, allocation price/CH U (of project ESU database 2021 UVEK)</t>
  </si>
  <si>
    <t>1 kWh Wood chips, from forest, mixed, burned in furnace 1000kW/CH U (of project ESU database 2021 UVEK)</t>
  </si>
  <si>
    <t>1 kWh Pellets, mixed, burned in furnace 50kW/CH U (of project ESU database 2021 UVEK)</t>
  </si>
  <si>
    <t>1 tkm transport, freight, lorry 16-32 metric ton, fleet average/RER U (of project ESU database 2021 UVEK)</t>
  </si>
  <si>
    <t>1 tkm Transport, tractor and trailer/CH U (of project ESU database 2021 UVEK)</t>
  </si>
  <si>
    <t>1 ton disposal, digester sludge, to municipal incineration/kg/CH U (of project ESU database 2021 UVEK)</t>
  </si>
  <si>
    <t>1 m3 Treatment, sewage, to wastewater treatment, class 4/CH U (of project ESU database 2021 UVEK)</t>
  </si>
  <si>
    <t>1 kg apple ÖLN, at farm/kg/CH S (of project ESU food database 2021)</t>
  </si>
  <si>
    <t>1 kg bread, at bakery/kg/CH S (of project ESU food database 2021)</t>
  </si>
  <si>
    <t>1 kg meat mixed, IP, at slaughterhouse/kg/CH S (of project ESU food database 2021)</t>
  </si>
  <si>
    <t>1 kg vegetables mean, IP, at farm/kg/CH S (of project ESU food database 2021)</t>
  </si>
  <si>
    <t>1 kg by-products, wheat milling, at plant/kg/CH S (of project ESU food database 2021)</t>
  </si>
  <si>
    <t>1 kg yeast, at plant/kg/RER S (of project ESU food database 2021)</t>
  </si>
  <si>
    <t>1 kg raw milk, silo zone, at farm/kg/CH S (of project ESU food database 2021)</t>
  </si>
  <si>
    <t>1 kg whey, at cheese dairy/kg/CH S (of project ESU food database 2021)</t>
  </si>
  <si>
    <t>1 kg Soybean lecithin, at oil mill/GLO U (of project 208 naturemade KWM)</t>
  </si>
  <si>
    <t>1 kg Rape oil, at oil mill/RER U (of project ESU database 2021 UVEK)</t>
  </si>
  <si>
    <t>1 kg wheat straw IP, at farm/kg/CH U (of project ESU database 2021 UVEK)</t>
  </si>
  <si>
    <t>1 kg Syrup, from sugar beet molasses, at distillery/CH U (of project ESU database 2021 UVEK)</t>
  </si>
  <si>
    <t>0.35 kg grass silage IP, at farm/kg/CH U (of project ESU database 2021 UVEK)</t>
  </si>
  <si>
    <t>0.35 kg grass silage organic, at farm/kg/CH U (of project ESU database 2021 UVEK)</t>
  </si>
  <si>
    <t>1 kg Hay intensive IP, at farm/CH U (of project ESU database 2021 UVEK)</t>
  </si>
  <si>
    <t>1 kg Potatoes IP, at farm/CH U (of project ESU database 2021 UVEK)</t>
  </si>
  <si>
    <t>1 kg Clover seed IP, at farm/CH U (of project ESU database 2021 UVEK)</t>
  </si>
  <si>
    <t>1 kg silage maize IP, at farm/kg/CH U (of project ESU database 2021 UVEK)</t>
  </si>
  <si>
    <t>1 kg Molasses, from sugar beet, at sugar refinery/CH U (of project ESU database 2021 UVEK)</t>
  </si>
  <si>
    <t>1 kg Rape meal, at oil mill/RER U (of project ESU database 2021 UVEK)</t>
  </si>
  <si>
    <t>1 kg rye grains IP, at farm/kg/CH U (of project ESU database 2021 UVEK)</t>
  </si>
  <si>
    <t>1 kg sugar beets IP, at farm/kg/CH U (of project ESU database 2021 UVEK)</t>
  </si>
  <si>
    <t>0.125 kg grass from meadow intensive IP, at field/kg/CH U (of project ESU database 2021 UVEK)</t>
  </si>
  <si>
    <t>0.125 kg grass from natural meadow intensive IP, at field/kg/CH U (of project ESU database 2021 UVEK)</t>
  </si>
  <si>
    <t>1 kg Vegetable oil, from waste cooking oil, at plant/CH U (of project ESU database 2021 UVEK)</t>
  </si>
  <si>
    <t>1 kg Vinasse, at fermentation plant/CH U (of project ESU database 2021 UVEK)</t>
  </si>
  <si>
    <t>1 kg glycerine, from rape oil, at esterification plant/kg/RER U (of project ESU database 2021 UVEK)</t>
  </si>
  <si>
    <t>1 kg Pulps, from sugar beet, at sugar refinery/CH U (of project ESU database 2021 UVEK)</t>
  </si>
  <si>
    <t>1 kg Urea, as N, at regional storehouse/RER U (of project ESU database 2021 UVEK)</t>
  </si>
  <si>
    <t>1 kg Sodium hydroxide, 50% in H2O, production mix, at plant/RER U (of project ESU database 2021 UVEK)</t>
  </si>
  <si>
    <t>1 kg Hydrogen peroxide, 50% in H2O, at plant/RER U (of project ESU database 2021 UVEK)</t>
  </si>
  <si>
    <t>1 kg Iron (III) chloride, 40% in H2O, at plant/CH U (of project ESU database 2021 UVEK)</t>
  </si>
  <si>
    <t>1 kWh threshold value, heat/kWh/CH U (of project 208 naturemade KWM)</t>
  </si>
  <si>
    <t>1 kWh threshold value, electricity/kWh/CH U (of project 208 naturemade KWM)</t>
  </si>
  <si>
    <t>1 kWh threshold value, cooling/kWh/CH U (of project 208 naturemade KWM)</t>
  </si>
  <si>
    <t>1 kg reference value, manure/kg/CH U (of project 208 naturemade KWM)</t>
  </si>
  <si>
    <t>1 kg reference value, manure/kg/DE U (of project 208 naturemade KWM)</t>
  </si>
  <si>
    <t>1 kg reference value, manure/kg/DK U (of project 208 naturemade KWM)</t>
  </si>
  <si>
    <t>1 kg reference value, manure/kg/GB U (of project 208 naturemade KWM)</t>
  </si>
  <si>
    <t>1 kg reference value, manure/kg/HU U (of project 208 naturemade KWM)</t>
  </si>
  <si>
    <t>1 kg reference value, manure/kg/ES U (of project 208 naturemade KWM)</t>
  </si>
  <si>
    <t>1 kg reference value, digested matter, liquid/kg/CH U (of project 208 naturemade KWM)</t>
  </si>
  <si>
    <t>1 kg reference value, digested matter, solid/kg/CH U (of project 208 naturemade KWM)</t>
  </si>
  <si>
    <t>1 CHF reference value, co-substrate disposal/CHF/CH U (of project 208 naturemade KWM)</t>
  </si>
  <si>
    <t>1 kg reference value, raw sewage sludge treatment/kg/CH U (of project 208 naturemade KWM)</t>
  </si>
  <si>
    <t>1 kg reference value, fuel from digester sludge/kg/CH U (of project 208 naturemade KWM)</t>
  </si>
  <si>
    <t>1 m3 reference value, paper production effluent/kg/CH U (of project 208 naturemade KWM)</t>
  </si>
  <si>
    <t>Electricity, medium voltage {ES}| market for | Cut-off, S</t>
  </si>
  <si>
    <t>Vergleich Aktuell zu vorher</t>
  </si>
  <si>
    <t>Spanien</t>
  </si>
  <si>
    <t>Spain</t>
  </si>
  <si>
    <t>ES</t>
  </si>
  <si>
    <t>Espagne</t>
  </si>
  <si>
    <t>Preisschätzung, CH</t>
  </si>
  <si>
    <t>Ho</t>
  </si>
  <si>
    <t>Hu</t>
  </si>
  <si>
    <t>Brennwert</t>
  </si>
  <si>
    <t>Heizwert</t>
  </si>
  <si>
    <t>Für die Prüfung industrieller Abwässer bitte VUE naturemade kontaktieren</t>
  </si>
  <si>
    <t>Pour l'analyse des eaux usées industrielles, veuillez contacter VUE naturemade</t>
  </si>
  <si>
    <t>For testing of industrial waste water please contact VUE naturemade</t>
  </si>
  <si>
    <t>Einnahme in CHF</t>
  </si>
  <si>
    <t>Volumen des Fermenters</t>
  </si>
  <si>
    <t>Inkl. Vor- und Nachbehandlung, in Industriegebiet, Hygienisierung</t>
  </si>
  <si>
    <t>Inkl. Vor- und Nachbehandlung, in Industriegebiet oder Grüngutanlage, Hygienisierung</t>
  </si>
  <si>
    <t>Industrielle Abwässer (Prüfung z.Zt. nur für Einzelfälle möglich)</t>
  </si>
  <si>
    <t>IPCC 2013 GWP 100a with RFI V1.04</t>
  </si>
  <si>
    <t>IPCC GWP 100a, 2013 with RFI, KBOB</t>
  </si>
  <si>
    <t>IPCC GWP 100a, 2013 with RFI, UVEK</t>
  </si>
  <si>
    <t>IPCC GWP 100a, 2013 with RFI, v3.6</t>
  </si>
  <si>
    <t>RFI aviation additonal effects</t>
  </si>
  <si>
    <t>IPCC GWP 100a, 2013</t>
  </si>
  <si>
    <t>Fuglestvedt, GWP 100a, stratosphere</t>
  </si>
  <si>
    <t>Lund, GWP 100a, stratosphere</t>
  </si>
  <si>
    <t>Ökobilanz Resultate</t>
  </si>
  <si>
    <t>Link zur Eingabeseite</t>
  </si>
  <si>
    <t>Erfüllungsgrad globales Kriterium</t>
  </si>
  <si>
    <t>Test value naturemade star</t>
  </si>
  <si>
    <t>Degree of fulfilment of global criterion</t>
  </si>
  <si>
    <t>The naturemade star test has been passed</t>
  </si>
  <si>
    <t>naturemade star certifiable energy quantity</t>
  </si>
  <si>
    <t>Link to the main input page</t>
  </si>
  <si>
    <t>Life cycle impact assessment results</t>
  </si>
  <si>
    <t>The data is not plausible, please check your entries</t>
  </si>
  <si>
    <t>Lien vers la page d'entrée principale</t>
  </si>
  <si>
    <t>Aperçu des résultats</t>
  </si>
  <si>
    <t>Test de valeur naturemade star</t>
  </si>
  <si>
    <t>Degré de réalisation du critère global</t>
  </si>
  <si>
    <t>Les données sont plausibles</t>
  </si>
  <si>
    <t>Les données ne sont pas plausibles, veuillez vérifier vos entrées</t>
  </si>
  <si>
    <t>quantité d'énergie certifiable naturemade star</t>
  </si>
  <si>
    <t>Gaz</t>
  </si>
  <si>
    <t>Électricité</t>
  </si>
  <si>
    <t>Résultats de l'analyse d'impact du cycle de vie</t>
  </si>
  <si>
    <t>In addition, the results of an allocation according to ecoinvent are also shown in the lower part of the table.</t>
  </si>
  <si>
    <t>Queries</t>
  </si>
  <si>
    <t>Environmental product declaration (EPD)</t>
  </si>
  <si>
    <t>Eco-indicator v2.10 und ESU-datenbank 2021 (basierend auf UVEK 2018), Strommixe ecoinvent v3.6</t>
  </si>
  <si>
    <t>Urée</t>
  </si>
  <si>
    <t>Usine d'incinération des ordures ménagères, naturemade ressources star</t>
  </si>
  <si>
    <t>Continuer vers la vue d'ensemble des résultats (feuille "Résulta")</t>
  </si>
  <si>
    <t>Total biogas use, gross</t>
  </si>
  <si>
    <t>Substrates for the biogas plant</t>
  </si>
  <si>
    <t>Substrats pour l'usine de biogaz</t>
  </si>
  <si>
    <t>Transport de tonnes-kilomètres, tracteur</t>
  </si>
  <si>
    <t>Transport de tonnes-kilomètres, camion</t>
  </si>
  <si>
    <t>Tonnes-kilomètres de transport, total</t>
  </si>
  <si>
    <t>Recettes de l'élimination des substrats</t>
  </si>
  <si>
    <t>Dépenses relatives aux substrats</t>
  </si>
  <si>
    <t>Recettes de l'élimination des boues d'épuration</t>
  </si>
  <si>
    <t>Dépenses relatives aux boues d'épuration</t>
  </si>
  <si>
    <t xml:space="preserve"> Achat </t>
  </si>
  <si>
    <t xml:space="preserve"> Élimination </t>
  </si>
  <si>
    <t xml:space="preserve"> Moyenne </t>
  </si>
  <si>
    <t>Tonne-kilometres transport, tractor</t>
  </si>
  <si>
    <t>Tonne-kilometres transport, truck</t>
  </si>
  <si>
    <t>Tonne-kilometres transport, total</t>
  </si>
  <si>
    <t>Substrate disposal revenue</t>
  </si>
  <si>
    <t>Expenditure on substrates</t>
  </si>
  <si>
    <t>Revenue sewage sludge disposal</t>
  </si>
  <si>
    <t>Expenditure on sewage sludge</t>
  </si>
  <si>
    <t xml:space="preserve"> Purchase </t>
  </si>
  <si>
    <t xml:space="preserve"> Disposal </t>
  </si>
  <si>
    <t xml:space="preserve"> Average </t>
  </si>
  <si>
    <t>Fermentation residues</t>
  </si>
  <si>
    <t>Digestat</t>
  </si>
  <si>
    <t>Solid fermentation residues</t>
  </si>
  <si>
    <t>Liquid fermentation residues</t>
  </si>
  <si>
    <t>Limit value of OAPC exceeded or input NOx is missing.</t>
  </si>
  <si>
    <t>Achtung hier bitte Wert für Anteil Nebenprodukte an Gesamtertrag eingeben</t>
  </si>
  <si>
    <t>Please enter here the value for the share of by-products in the total yield.</t>
  </si>
  <si>
    <t>Attention : Veuillez indiquer ici la valeur de la part des sous-produits dans le rendement total.</t>
  </si>
  <si>
    <t>Ertrag, theoretisch</t>
  </si>
  <si>
    <t>Globales Kriterium Resultate Übersicht</t>
  </si>
  <si>
    <t>Global criterion results overview</t>
  </si>
  <si>
    <t>Französiscch</t>
  </si>
  <si>
    <t>Si le nombre d'animaux est inconnu, estimer la valeur des animaux en essayant en J jusqu'à ce que les tonnes soient correctes</t>
  </si>
  <si>
    <t>If number of animals unknown estimate value for animals by trying on numbers until tonnes are correct</t>
  </si>
  <si>
    <t>Wärme (Brennstoffe mit Brennwert angeben)</t>
  </si>
  <si>
    <t>Treibstoffe (Heizwert angeben)</t>
  </si>
  <si>
    <t>Carburants (pouvoir calorifique inférieur)</t>
  </si>
  <si>
    <t>Fuels (lower heating value)</t>
  </si>
  <si>
    <t>Diesel (default 10 kWh/kg)</t>
  </si>
  <si>
    <t>Ignition oil (default 10 kWh/kg)</t>
  </si>
  <si>
    <t>Diesel (défaut 10 kWh/kg)</t>
  </si>
  <si>
    <t>Diesel d'allumage (défaut 10 kWh/kg)</t>
  </si>
  <si>
    <t>Dieselverbrauch (Default 10 kWh/Liter)</t>
  </si>
  <si>
    <t>Zündöl (Default 10 kWh/kg)</t>
  </si>
  <si>
    <t>Heizöl (Default 10.5 kWh/Liter)</t>
  </si>
  <si>
    <t>Erdgas (Default 11.2 kWh/m3)</t>
  </si>
  <si>
    <t>Biomethan, naturemade star (Default 10.6 kWh/m3)</t>
  </si>
  <si>
    <t>Biomethan, andere Zertifikate (Default 10.6 kWh/m3)</t>
  </si>
  <si>
    <t>Holz (Default 5.6 kWh/kg)</t>
  </si>
  <si>
    <t>Holz, naturemade star (Default 5.6 kWh/kg)</t>
  </si>
  <si>
    <t>Holzpellets (Default 5.6 kWh/kg)</t>
  </si>
  <si>
    <t>Holzpellets, naturemade star (Default 5.6 kWh/kg)</t>
  </si>
  <si>
    <t>Pellets de bois, naturemade star (défaut 5.6 kWh/kg)</t>
  </si>
  <si>
    <t>Pellets de bois (défaut 5.6 kWh/kg)</t>
  </si>
  <si>
    <t>Bois, naturemade star (défaut 5.6 kWh/kg)</t>
  </si>
  <si>
    <t>Bois (défaut 5.6 kWh/kg)</t>
  </si>
  <si>
    <t>Biométhane, autres certificats (défaut 10.6 kWh/m3)</t>
  </si>
  <si>
    <t>Biométhane, naturemade star (défaut 10.6 kWh/m3)</t>
  </si>
  <si>
    <t>Consommation de gaz naturel (défaut 11.2 kWh/m3)</t>
  </si>
  <si>
    <t>Consommation de mazout (défaut 10.5 kWh/litre)</t>
  </si>
  <si>
    <t>Fuel oil consumption (default 10.5 kWh/litre)</t>
  </si>
  <si>
    <t>Natural gas consumption (default 11.2 kWh/m3)</t>
  </si>
  <si>
    <t>Biomethane, naturemade star (default 10.6 kWh/m3)</t>
  </si>
  <si>
    <t>Biomethane, other certificates (default 10.6 kWh/m3)</t>
  </si>
  <si>
    <t>Wood (default 5.6 kWh/kg)</t>
  </si>
  <si>
    <t>Wood, naturemade star (default 5.6 kWh/kg)</t>
  </si>
  <si>
    <t>Wood pellets (default 5.6 kWh/kg)</t>
  </si>
  <si>
    <t>Wood pellets, naturemade star (default 5.6 kWh/kg)</t>
  </si>
  <si>
    <t>Heat (specify fuels with higher heating value)</t>
  </si>
  <si>
    <t>Chaleur (spécifier combustibles avec pouvoir calorifique supérieur)</t>
  </si>
  <si>
    <t>Bruttoproduktion Biogas (Default 7.4 kWh/m3)</t>
  </si>
  <si>
    <t>Biogas verbrannt in Fackel (Default 7.4 kWh/m3)</t>
  </si>
  <si>
    <t>Biomethan: Verkauf und Verbrauch extern (Default 10.6 kWh/m3)</t>
  </si>
  <si>
    <t>Biogas: Verkauf und Verbrauch extern (Default 7.4 kWh/m3)</t>
  </si>
  <si>
    <t>Biogas (Brennwert angeben)</t>
  </si>
  <si>
    <t>Biogaz (spécifier pouvoir calorifique supérieur)</t>
  </si>
  <si>
    <t>Biogas (specify higher heating value)</t>
  </si>
  <si>
    <t>Gross production biogas (default 7.4 kWh/m3)</t>
  </si>
  <si>
    <t>Biogas burned in flare (default 7.4 kWh/m3)</t>
  </si>
  <si>
    <t>Biogaz des torchères (défaut 7.4 kWh/m3)</t>
  </si>
  <si>
    <t>Production brute de biogaz (défaut 7.4 kWh/m3)</t>
  </si>
  <si>
    <t>Biomethane: sale and external consumption (default 10.6 kWh Ho/m3)</t>
  </si>
  <si>
    <t>Biogas: sale and external consumption (default 7.4 kWh/m3)</t>
  </si>
  <si>
    <t>Biogaz : vente et consommation externe (défaut 7.4 kWh/m3)</t>
  </si>
  <si>
    <t>Biométhane : vente et consommation externe (défaut 10.6 kWh/m3)</t>
  </si>
  <si>
    <t>Coût / rendement total</t>
  </si>
  <si>
    <t>Kosten/Ertrag für Entsorgung/Ausbringung</t>
  </si>
  <si>
    <t>Total des tonnes-kilomètres d'élimination / épandage</t>
  </si>
  <si>
    <t>Installation à distance simple - l'élimination / l'épandage</t>
  </si>
  <si>
    <t>data is plausible</t>
  </si>
  <si>
    <t>Grenzwert Umweltbelastung eingehalten</t>
  </si>
  <si>
    <t>Limite des nuisances environnementales respectée</t>
  </si>
  <si>
    <t>Environmental impact threshold value met</t>
  </si>
  <si>
    <t>Die naturemade star-Prüfung ist bestanden</t>
  </si>
  <si>
    <t>Le test de naturemade star est réussi</t>
  </si>
  <si>
    <t>Grenzwert Umweltbelastung überschritten</t>
  </si>
  <si>
    <t>Environmental impact threshold value exceeded</t>
  </si>
  <si>
    <t>Dépassement de la limite des nuisances environnementales</t>
  </si>
  <si>
    <t>Use of energy crops is not allowed</t>
  </si>
  <si>
    <t>The naturemade star test has not been passed</t>
  </si>
  <si>
    <t>Die naturemade star-Prüfung ist nicht bestanden</t>
  </si>
  <si>
    <t>Le test de naturemade star n'est pas réussi</t>
  </si>
  <si>
    <t>Composition naturemade star test value</t>
  </si>
  <si>
    <t>Zusammensetzung naturemade star Prüfwert</t>
  </si>
  <si>
    <t>Composition valeur d'essai naturemade star</t>
  </si>
  <si>
    <t>Summe, naturemade star Prüfwert</t>
  </si>
  <si>
    <t>Total, valeur du test naturemade star</t>
  </si>
  <si>
    <t>Total, naturemade star test value</t>
  </si>
  <si>
    <t>Bitte Anlagenname eintragen</t>
  </si>
  <si>
    <t>Bitte Referenzzeitraum angeben (alle Eingaben umfassen 1 Jahr)</t>
  </si>
  <si>
    <t>Please specify reference period (all entries cover 1 year)</t>
  </si>
  <si>
    <t>Veuillez préciser la période de référence (toutes les entrées couvrent 1 an)</t>
  </si>
  <si>
    <t>Veuillez entrer le nom de la plante</t>
  </si>
  <si>
    <t>Please enter plant name</t>
  </si>
  <si>
    <t>Bitte Behandlungsart feste Gärreste angeben</t>
  </si>
  <si>
    <t>Bitte Behandlungsart flüssige Gärreste angeben</t>
  </si>
  <si>
    <t>Please specify treatment type solid digestate</t>
  </si>
  <si>
    <t>Veuillez préciser le type de traitement du digestat solide</t>
  </si>
  <si>
    <t>Please specify treatment type liquid digestate</t>
  </si>
  <si>
    <t>Veuillez préciser le type de traitement du digestat liquide</t>
  </si>
  <si>
    <t>Bitte Verwendungsart flüssige Gärreste angeben</t>
  </si>
  <si>
    <t>Veuillez préciser le type d'utilisation du digestat liquide</t>
  </si>
  <si>
    <t>Please specify type of use of liquid digestate</t>
  </si>
  <si>
    <t>Wenn Klärschlamm oder ähnliche Substrate verwendet werden, muss der Gärrückstand verbrannt werden.</t>
  </si>
  <si>
    <t>Fermenter volume</t>
  </si>
  <si>
    <t>All data must be entered for a uniform period of one year.</t>
  </si>
  <si>
    <t>Instructions</t>
  </si>
  <si>
    <t>The model is  valid for biogas plants that use substrates according to the detailed list in the sheet "Substrates". Please contact the VUE naturemade office, if you have substrates that do not match the categories.</t>
  </si>
  <si>
    <t>The model is set up for biogas from green waste fermentation plants, agricultural biogas plants and wastewater treatment plants. It can only be applied to a limited extent to biogas plants at industrial enterprises such as fermentation at a slaughterhouse or sugar factory.</t>
  </si>
  <si>
    <r>
      <t>Please specify water consumption in m</t>
    </r>
    <r>
      <rPr>
        <vertAlign val="superscript"/>
        <sz val="10"/>
        <rFont val="Arial"/>
        <family val="2"/>
      </rPr>
      <t>3</t>
    </r>
  </si>
  <si>
    <r>
      <t>Veuillez préciser la consommation d'eau en m</t>
    </r>
    <r>
      <rPr>
        <vertAlign val="superscript"/>
        <sz val="10"/>
        <rFont val="Arial"/>
        <family val="2"/>
      </rPr>
      <t>3</t>
    </r>
  </si>
  <si>
    <r>
      <t>Bitte Wasserverbrauch in m</t>
    </r>
    <r>
      <rPr>
        <vertAlign val="superscript"/>
        <sz val="10"/>
        <rFont val="Arial"/>
        <family val="2"/>
      </rPr>
      <t>3</t>
    </r>
    <r>
      <rPr>
        <sz val="10"/>
        <rFont val="Arial"/>
        <family val="2"/>
      </rPr>
      <t xml:space="preserve"> angeben</t>
    </r>
  </si>
  <si>
    <t>Eingabewert Fermentergrösse in m3 fehlt</t>
  </si>
  <si>
    <t>Valeur d'entrée taille du fermenteur (en m3) manquante</t>
  </si>
  <si>
    <t>Input value fermenter size (in m3) missing</t>
  </si>
  <si>
    <t>Bitte Anteil Fernwärme am gesamten Wärmebezug ausrechnen, falls Fernwärme genutzt wird</t>
  </si>
  <si>
    <t>Veuillez calculer la part du chauffage urbain dans la consommation totale de chaleur si le chauffage urbain est utilisé</t>
  </si>
  <si>
    <t>Please calculate the share of district heating in the total heat consumption, if district heating is used</t>
  </si>
  <si>
    <t>Gas yield greater than 125% of theoretical yield or missing input</t>
  </si>
  <si>
    <t>Rendement du gaz supérieur à 125 % du rendement théorique ou apport manquant</t>
  </si>
  <si>
    <t>Genutzte Biogas- und Biomethanmenge überschreitet die produzierte Biogasmenge</t>
  </si>
  <si>
    <t>La quantité de biogaz et de biométhane utilisée dépasse la quantité de biogaz produite</t>
  </si>
  <si>
    <t>Amount of biogas and biomethane used exceeds the amount of biogas produced</t>
  </si>
  <si>
    <t>Eigenverbrauch Strom grösser Stromproduktion</t>
  </si>
  <si>
    <t>La consommation propre d'électricité est supérieure à la production d'électricité</t>
  </si>
  <si>
    <t>Verhältnis von Stromverkauf und -verbrauch und Stromproduktion prüfen</t>
  </si>
  <si>
    <t>Examiner la relation entre les ventes et la consommation d'électricité et la production d'électricité</t>
  </si>
  <si>
    <t>Check ratio of electricity sales and consumption to electricity production</t>
  </si>
  <si>
    <t>Bitte Strom- bzw. Wärmeproduktion unten eintragen</t>
  </si>
  <si>
    <t>Please enter electricity or heat production below</t>
  </si>
  <si>
    <t>Veuillez entrer la production d'électricité ou de chaleur ci-dessous</t>
  </si>
  <si>
    <t>Bitte Substrate auf sheet "Substrates" eingeben</t>
  </si>
  <si>
    <t>Veuillez entrer les substrats sur la feuille "Substrates"</t>
  </si>
  <si>
    <t>Please enter substrates on sheet "Substrates"</t>
  </si>
  <si>
    <t>Methanschlupf in Aufbereitungsanlage (Default 7.4 kWh/m3)</t>
  </si>
  <si>
    <t>Glissement de méthane dans l'installation de traitement (défaut 7.4 kWh/m3)</t>
  </si>
  <si>
    <t>Methane slip in upgrading plant (default 7.4 kWh/m3)</t>
  </si>
  <si>
    <t>Die naturemade star-Prüfung ist teilweise nicht bestanden</t>
  </si>
  <si>
    <t>Le test de naturemade star est partiellement raté</t>
  </si>
  <si>
    <t>Version and background database</t>
  </si>
  <si>
    <t>Bitte wählen Sie die Sprache</t>
  </si>
  <si>
    <t>Please select the language</t>
  </si>
  <si>
    <t>Veuillez sélectionner la langue</t>
  </si>
  <si>
    <t>The environmental product declaration (EPD) roughly indicates the environmental impact. Differences in comparisons of less than 10% are usually not relevant. The allocation methodology differs from the procedure in the ecoinvent database.</t>
  </si>
  <si>
    <t>Molkenstrasse 21, CH-8004 Zürich</t>
  </si>
  <si>
    <t>Le modèle est valable pour les usines de biogaz qui utilisent des substrats selon la liste détaillée dans la fiche "Substrats". Veuillez contacter le bureau VUE naturemade, si vous avez des substrats qui ne correspondent pas aux catégories.</t>
  </si>
  <si>
    <t>Le modèle est mis en place pour le biogaz provenant des usines de fermentation de déchets verts, des usines de biogaz agricoles et des usines de traitement des eaux usées. Il ne peut être appliqué que de manière limitée aux installations de biogaz d'entreprises industrielles, comme la fermentation dans un abattoir ou une sucrerie.</t>
  </si>
  <si>
    <t>Déclaration environnementale de produit (EPD)</t>
  </si>
  <si>
    <t>La déclaration environnementale de produit (EPD) indique en gros l'impact environnemental. Les différences de comparaison inférieures à 10 % ne sont généralement pas pertinentes. La méthode de répartition diffère de la procédure de la base de données ecoinvent.</t>
  </si>
  <si>
    <t>En outre, les résultats d'une répartition selon ecoinvent sont également indiqués dans la partie inférieure du tableau.</t>
  </si>
  <si>
    <t>Questions</t>
  </si>
  <si>
    <t>Anleitung</t>
  </si>
  <si>
    <t>Alle Daten müssen für einen einheitlichen Zeitraum von einem Jahr eingegeben werden.</t>
  </si>
  <si>
    <t>In der Spalte "Hinweise und Warnungen" werden bestimmte Aspekte der Eingabe überprüft. Nach dem Ausfüllen aller Daten darf es keine Warnungen mehr geben.</t>
  </si>
  <si>
    <t>Die automatische Berechnung in Excel muss eingeschaltet sein (Extras/Optionen/Kalkulation --&gt; automatisch) oder Sie können mit der Taste [F9] jedes Mal neu berechnen.</t>
  </si>
  <si>
    <t>Das Modell ist für Biogas aus Grüngutvergärungsanlagen, landwirtschaftlichen Biogasanlagen und Kläranlagen ausgelegt. Für Biogasanlagen in Industriebetrieben, wie z.B. Vergärung in einem Schlachthof oder einer Zuckerfabrik, ist es nur bedingt anwendbar.</t>
  </si>
  <si>
    <t>Zusätzlich werden im unteren Teil der Tabelle auch die Ergebnisse einer Zuordnung nach ecoinvent angezeigt.</t>
  </si>
  <si>
    <t>Abfragen</t>
  </si>
  <si>
    <t>Bei Fragen zum Modell sollte zunächst der vollständige Hintergrundbericht eingesehen werden. Jungbluth N. (2021) Handbuch für die naturemade Kennwertmodelle: Ökobilanzen für die Prüfung des globalen Kriteriums. ESU-services im Auftrag vom Verein für umweltgerechte Energie (VUE), Schaffhausen.</t>
  </si>
  <si>
    <t>Für die meisten Substrate und den Gärrest werden Angaben zu Kosten und Erträgen abgefragt. Einnahmen und Ausgaben müssen als positiver (Einnahmen) oder negativer (Ausgaben) Wert pro Jahr eingegeben werden. Transportkosten werden nicht berücksichtigt.</t>
  </si>
  <si>
    <t>System boundaries for the biogas plant</t>
  </si>
  <si>
    <t>Limites du système pour l'usine de biogaz</t>
  </si>
  <si>
    <t>Das Modell gilt für Biogasanlagen, die Substrate gemäß der detaillierten Liste im Blatt "Substrates" einsetzen. Bitte setzen Sie sich mit der Geschäftsstelle des VUE naturemade in Verbindung, wenn Sie Substrate einsetzen, die nicht in die Kategorien passen.</t>
  </si>
  <si>
    <t>Umweltproduktdeklaration im Blatt EPD</t>
  </si>
  <si>
    <t>Die Umwelt-Produktdeklaration gibt grob die Umweltauswirkungen an. Unterschiede im Vergleich von weniger als 10% sind in der Regel nicht relevant. Die Allokationsmethodik weicht von der Vorgehensweise in der ecoinvent-Datenbank ab.</t>
  </si>
  <si>
    <t>Auftraggeber</t>
  </si>
  <si>
    <t>Commissioner</t>
  </si>
  <si>
    <t>Entwicklung des Kennwertmodels für die Ökobilanzierung</t>
  </si>
  <si>
    <t>Development of the key parameter model for life cycle assessment</t>
  </si>
  <si>
    <t>Client</t>
  </si>
  <si>
    <t>Version, verwendete Datenbank und Bewertungsmethoden</t>
  </si>
  <si>
    <t>Version, base de données utilisée et méthodes d'évaluation</t>
  </si>
  <si>
    <t>Développement du modèle de valeur caractéristique pour l'évaluation du cycle de vie</t>
  </si>
  <si>
    <t>Eco-indicator v2.10 and ESU-database 2021 (based on UVEK 2018), electricity mixes from ecoinvent v3.6</t>
  </si>
  <si>
    <t>The naturemade star test has partially not been passed</t>
  </si>
  <si>
    <t>Please select language / Bitte Sprache wählen / Veuillez choisir la langue</t>
  </si>
  <si>
    <t>Contrôle naturemade star: production d'énergie de biogaz</t>
  </si>
  <si>
    <t>Im Arbeitsblatt "MainInput" wählen Sie bitte das Land aus, in dem sich die Biogasanlage befindet. Setzen Sie sich mit der Geschäftsstelle des VUE naturemade in Verbindung, wenn die Anlage in einem europäischen Land steht, das nicht in der Liste aufgeführt ist.</t>
  </si>
  <si>
    <t>Der Energiegehalt von Brenn- und Treibstoffen und das erzeugte Biogas/Biomethan müssen mit dem oberen Heizwert (Brennwert) eingegeben werden.</t>
  </si>
  <si>
    <t>Zum Schluss gehen Sie auf das Arbeitsblatt "Results" in welchem Sie das Ergebnis der naturemade star-Prüfung sehen.</t>
  </si>
  <si>
    <t>Nachdem Sie diese Anleitung gelesen haben, gehen Sie zu den Arbeitsblättern "MainInput" und "Substrates" und geben alle erforderlichen Daten (hellgelbe Felder) ein.</t>
  </si>
  <si>
    <t>Après avoir lu ces instructions, allez sur les feuilles de travail "MainInput" et "Substrates" et entrez toutes les données requises (champs jaune clair).</t>
  </si>
  <si>
    <t>Dans la feuille "MainInput", veuillez sélectionner le pays où l'usine de biogaz est située. Contactez le bureau VUE naturemade si l'usine est située dans un pays européen qui ne figure pas dans la liste.</t>
  </si>
  <si>
    <t>Toutes les données doivent être entrées pour une période uniforme d'un an.</t>
  </si>
  <si>
    <t>Le contenu énergétique des combustibles et du biogaz/biométhane produit doit être saisi avec le pouvoir calorifique supérieur (PCI).</t>
  </si>
  <si>
    <t>Dans la colonne "Notes et avertissements", certains aspects de la saisie sont vérifiés. Une fois que toutes les données ont été remplies, il ne doit plus y avoir d'avertissements.</t>
  </si>
  <si>
    <t>Pour la plupart des substrats et digestats, des informations sur les dépenses et les revenus sont demandées. Les revenus et les dépenses doivent être inscrits en valeur positive (revenus) ou négative (dépenses) par an. Les coûts de transport ne sont pas pris en compte.</t>
  </si>
  <si>
    <t>Le calcul automatique dans Excel doit être activé (Outils/Options/Calcul --&gt; Automatique) ou vous pouvez recalculer à chaque fois en appuyant sur [F9].</t>
  </si>
  <si>
    <t>Enfin, allez à la feuille de travail "Résultats" dans laquelle vous pouvez voir le résultat du test naturemade star.</t>
  </si>
  <si>
    <t>After reading these instructions, go to the worksheets "MainInput" and "Substrates" and enter all required data (light yellow fields).</t>
  </si>
  <si>
    <t>In the worksheet "MainInput", please select the country where the biogas plant is located. Contact the VUE naturemade office if the plant is located in a European country that is not included in the list.</t>
  </si>
  <si>
    <t>The energy content of fuels and the biogas/biomethane produced must be entered with the higher heating value (higher calorific value).</t>
  </si>
  <si>
    <t>In the column "Notes and warnings" certain aspects of the entry are checked. After filling in all data, there must be no more warnings.</t>
  </si>
  <si>
    <t>For most substrates and the digestate, information on costs and/or revenue is requested. Income and expenditure must be entered as a positive (revenue) or negative (expenses) value per year. Transport costs are not taken into accoun</t>
  </si>
  <si>
    <t>The automatic calculation in Excel must be switched on (Tools/Options/Calculation --&gt; Automatic) or you can recalculate each time with the [F9] key.</t>
  </si>
  <si>
    <t>Finally, go to the "Results" worksheet in which you can see the result of the naturemade star test.</t>
  </si>
  <si>
    <t>Revenue (plus) or expenses (minus) for disposal or application of digestate (excluding transport costs)</t>
  </si>
  <si>
    <t>Einnahmen (plus) bzw. Ausgaben (minus) für Entsorgung bzw. Ausbringung der Gärreste (ohne Transportkosten)</t>
  </si>
  <si>
    <t>Revenus (plus) ou dépenses (moins) pour l'élimination ou l'épandage du digestat (à l'exclusion des frais de transport)</t>
  </si>
  <si>
    <t>Systemgrenze der Biogas-Anlage</t>
  </si>
  <si>
    <t>Für die Berechnung des Energieverbrauchs und der Ökobilanz der Biogasanlage (inklusive Aufbereitungsanlage) muss die Systemgrenze eingehalten werden, wie sie im Handbuch beschrieben ist (siehe naturemade.ch-&gt;Dokumentation-&gt;Ökobilanzen). Grundsätzlich umfasst die Systemgrenze alle relevanten Energie- und Massenflüsse aus Sicht des Biogasanlagenbetreibers, welche im Rahmen seines wirtschaftlichen Entscheidungsbereichs liegen.</t>
  </si>
  <si>
    <t>Pour le calcul de la consommation d'énergie et l'analyse du cycle de vie de l'installation de biogaz (y compris l'installation de valorisation), il convient de respecter les limites du système comme décrit dans le manuel (voir naturemade.ch-&gt;Documentation-&gt;Bilans écologique). Fondamentalement, le périmètre du système comprend tous les flux énergétiques et massiques pertinents du point de vue de l'exploitant de l'installation de biogaz, qui relèvent de son champ de décision économique.</t>
  </si>
  <si>
    <t>For the calculation of the energy consumption and the life cycle assessment of the biogas plant (including the upgrading plant), the system boundary must be adhered to as described in the manual (see naturemade.ch-&gt;Documentation-&gt;Eco-balances). Basically, the system boundary includes all relevant energy and mass flows from the biogas plant operator's point of view, which are within his economic decision-making scope.</t>
  </si>
  <si>
    <t>For questions about the model, the full background report should be looked at first. Jungbluth N. (2021) Handbuch für die naturemade Kennwertmodelle: Ökobilanzen für die Prüfung des globalen Kriteriums. ESU-services on behalf of the Association for Environmentally Sound Energy (VUE), Schaffhausen.</t>
  </si>
  <si>
    <t>Pour les questions concernant le modèle, il convient d'examiner d'abord le rapport complet sur le contexte. Jungbluth N. (2021) Handbuch für die naturemade Kennwertmodelle : Ökobilanzen für die Prüfung des globalen Kriteriums. ESU-services au nom de l'Association pour une énergie respectueuse de l'environnement (VUE), Schaffhouse.</t>
  </si>
  <si>
    <t>Für Fragen und Rückmeldungen wenden Sie sich bitte an die Geschäftsstelle VUE naturemade. Bitte senden Sie die ausgefüllte Excel-Tabelle, gespeichert unter einem neuen Namen unter Beibehaltung der Versionsnummer, an die folgende Adresse:</t>
  </si>
  <si>
    <t>Pour toute question ou réaction, veuillez contacter le bureau VUE naturemade. Veuillez envoyer la feuille de calcul Excel complétée, sauvegardée sous un nouveau nom tout en conservant le numéro de version, à l'adresse suivante</t>
  </si>
  <si>
    <t>For questions and feedback, please contact the VUE naturemade office. Please send the completed Excel spreadsheet, saved under a new name while retaining the version number, to the following address:</t>
  </si>
  <si>
    <t>Association pour une énergie respectueuse de l'environnement (VUE), bureau naturemade</t>
  </si>
  <si>
    <t>Association for Environmentally Sound Energy (VUE), naturemade office</t>
  </si>
  <si>
    <t>Kennwertmodell zur Prüfung des globalen naturemade star Kriteriums</t>
  </si>
  <si>
    <t>Modèle a paramètres caractéristique pour tester le critère global de naturemade star</t>
  </si>
  <si>
    <t>Standardised parameter model for testing the global naturemade star criterion</t>
  </si>
  <si>
    <t>www.esu-services.ch</t>
  </si>
  <si>
    <t>Valentin Graf, T: +41 44 213 10 21</t>
  </si>
  <si>
    <t>Niels Jungbluth, T. +41 44 940 61 32</t>
  </si>
  <si>
    <t xml:space="preserve">http://www.esu-services.ch/projects/naturemade/ </t>
  </si>
  <si>
    <t>'</t>
  </si>
  <si>
    <t>Raw materials and substrates</t>
  </si>
  <si>
    <t>Stromproduktion fehlt oder Stromproduktion grösser als Biogasnutzung in BHKW</t>
  </si>
  <si>
    <t>Electricity production missing or electricity production larger than biogas use in CHP unit</t>
  </si>
  <si>
    <t>Production d'électricité manquante ou production d'électricité supérieure à l'utilisation de biogaz dans une unité de cogénération</t>
  </si>
  <si>
    <t>Biogas: Stickoxide NOx als NO2 aus Heizung oder BHKW</t>
  </si>
  <si>
    <t>Biogaz: Oxydes d'azote NOx en NO2 provenant du chauffage ou CHP</t>
  </si>
  <si>
    <t>Biogas: Nitrogen oxides NOx as NO2 from heating or CHP</t>
  </si>
  <si>
    <t>https://www.mapa.gob.es/app/precios-medios-nacionales/pmn_tabla.asp
https://www.mapa.gob.es/es/agricultura/temas/producciones-agricolas/</t>
  </si>
  <si>
    <t>Preisschätzung, DE</t>
  </si>
  <si>
    <t>Preisschätzung, ES</t>
  </si>
  <si>
    <t>Biogas: Lokale Nutzung in Heizung oder BHKW (Default 7.4 kWh/m3)</t>
  </si>
  <si>
    <t>Biogaz : Utilisation locale pour chauffage or CHP (défaut 7.4 kWh/m3)</t>
  </si>
  <si>
    <t>Biogas: local use in heating or CHP (default 7.4 kWh/m3)</t>
  </si>
  <si>
    <t>Einspeisung in Fernwärmeverbund</t>
  </si>
  <si>
    <t xml:space="preserve">Feeding into district heating network
</t>
  </si>
  <si>
    <t>Distribution losses district heating network</t>
  </si>
  <si>
    <t>Default distribution losses in district heating network: 10%</t>
  </si>
  <si>
    <t>Pertes de distribution par défaut dans les réseaux de chauffage à distance : 10 %</t>
  </si>
  <si>
    <t>Default-Verteilungsverluste in Fernwärmeverbünden: 10%</t>
  </si>
  <si>
    <t>Verteilverluste Fernwärmeverbund</t>
  </si>
  <si>
    <t>Pertes de distribution en réseaux de chauffage à distance</t>
  </si>
  <si>
    <t>Eigenverbrauch Wärme nicht eintragen</t>
  </si>
  <si>
    <t>Ne pas saisir sa propre consommation de chaleur</t>
  </si>
  <si>
    <t>Do not enter own heat consumption</t>
  </si>
  <si>
    <t>Own consumption of electricity greater than electricity production</t>
  </si>
  <si>
    <t>GB</t>
  </si>
  <si>
    <t>16.3.2021 - v18.1 Preisdaten für Spanien ergänzt</t>
  </si>
  <si>
    <t>13.1.2021 - v18 Überarbeitung des Design, Ergänzung Spanien, Neuaufbau der Berechnungen</t>
  </si>
  <si>
    <t>16.12.2020 - v17 Korrektur Berechnung Fackelverluste</t>
  </si>
  <si>
    <t>17.11.2020 - v17 - Erweiterung für Grossbritannien, Update LCIA für Strommixe mit ecoinvent v3.6</t>
  </si>
  <si>
    <t>Version 2021-v18.1</t>
  </si>
  <si>
    <t>Glycerine from animal fats</t>
  </si>
  <si>
    <t>Glycerine</t>
  </si>
  <si>
    <t>Glycérine provenant de graisses animales</t>
  </si>
  <si>
    <t>Glycérine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</si>
</sst>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 #,##0.00_ ;_ * \-#,##0.00_ ;_ * &quot;-&quot;??_ ;_ @_ "/>
    <numFmt numFmtId="165" formatCode="0.0%"/>
    <numFmt numFmtId="166" formatCode="#,##0&quot; m3&quot;;[Red]#,##0&quot; m3&quot;"/>
    <numFmt numFmtId="167" formatCode="#,##0&quot; km&quot;;[Red]#,##0&quot; km&quot;"/>
    <numFmt numFmtId="168" formatCode="#,##0&quot; kWh&quot;;[Red]#,##0&quot; kWh&quot;"/>
    <numFmt numFmtId="169" formatCode="0.000"/>
    <numFmt numFmtId="170" formatCode="0.0"/>
    <numFmt numFmtId="171" formatCode="_ * #,##0.0_ ;_ * \-#,##0.0_ ;_ * &quot;-&quot;??_ ;_ @_ "/>
    <numFmt numFmtId="172" formatCode="_ * #,##0_ ;_ * \-#,##0_ ;_ * &quot;-&quot;??_ ;_ @_ "/>
    <numFmt numFmtId="173" formatCode="_ * #,##0.000_ ;_ * \-#,##0.000_ ;_ * &quot;-&quot;??_ ;_ @_ "/>
    <numFmt numFmtId="174" formatCode="_ * #,##0.0000_ ;_ * \-#,##0.0000_ ;_ * &quot;-&quot;??_ ;_ @_ "/>
    <numFmt numFmtId="175" formatCode="0.00E+0;[=0]&quot;0&quot;;0.00E+0"/>
    <numFmt numFmtId="176" formatCode="0.0%;[=0]&quot;0%&quot;;0.0%"/>
    <numFmt numFmtId="177" formatCode="#,##0.0&quot; dt&quot;;[Red]#,##0.0&quot; dt&quot;"/>
    <numFmt numFmtId="178" formatCode="#,##0&quot; kg&quot;;[Red]#,##0&quot; kg&quot;"/>
    <numFmt numFmtId="179" formatCode="#,##0&quot; m2a&quot;;[Red]#,##0&quot; m2a&quot;"/>
    <numFmt numFmtId="180" formatCode="#,##0.0&quot; ZKh&quot;;[Red]#,##0.0&quot; ZKh&quot;"/>
    <numFmt numFmtId="181" formatCode="#,##0&quot; m2&quot;;[Red]#,##0&quot; m2&quot;"/>
    <numFmt numFmtId="182" formatCode="#,##0&quot; Liter&quot;;[Red]#,##0&quot; Liter&quot;"/>
    <numFmt numFmtId="183" formatCode="0.00%;[=0]&quot;0&quot;;General"/>
    <numFmt numFmtId="184" formatCode="[=0]&quot;&quot;;General"/>
    <numFmt numFmtId="185" formatCode="0.00E+0;[=0]&quot;-&quot;;0.00E+0"/>
    <numFmt numFmtId="186" formatCode="0.00E+0;[=0]&quot;0&quot;;[Red]0.00E+0"/>
    <numFmt numFmtId="187" formatCode="#,##0&quot; CHF&quot;;[Red]\-#,##0&quot; CHF&quot;"/>
    <numFmt numFmtId="188" formatCode="0.00E+0;[=0]&quot;0&quot;;General"/>
    <numFmt numFmtId="189" formatCode="#,##0.00&quot; CHF&quot;;[Red]\-#,##0.00&quot; CHF&quot;"/>
    <numFmt numFmtId="190" formatCode="#,##0&quot; t FM&quot;;[Red]#,##0&quot; t FM&quot;"/>
    <numFmt numFmtId="191" formatCode="#,##0&quot; tkm&quot;;[Red]#,##0&quot; tkm&quot;"/>
    <numFmt numFmtId="192" formatCode="0.000E+00"/>
    <numFmt numFmtId="193" formatCode="#,##0.0"/>
    <numFmt numFmtId="194" formatCode="#,##0.0&quot; t&quot;;[Red]#,##0.0&quot; t&quot;"/>
    <numFmt numFmtId="195" formatCode="#,##0&quot; mg/Nm3&quot;;[Red]#,##0&quot; kWh&quot;"/>
    <numFmt numFmtId="196" formatCode="0.0000"/>
    <numFmt numFmtId="197" formatCode="#,##0&quot; kW&quot;;[Red]#,##0&quot; kW&quot;"/>
    <numFmt numFmtId="198" formatCode="_ * #,##0.00000_ ;_ * \-#,##0.00000_ ;_ * &quot;-&quot;??_ ;_ @_ "/>
    <numFmt numFmtId="199" formatCode="_-* #,##0.00\ [$€-407]_-;\-* #,##0.00\ [$€-407]_-;_-* &quot;-&quot;??\ [$€-407]_-;_-@_-"/>
    <numFmt numFmtId="200" formatCode="#,##0&quot; $&quot;;[Red]\-#,##0&quot; $&quot;"/>
    <numFmt numFmtId="201" formatCode="#,##0.0000&quot;Geld/kg&quot;;[Red]\-#,##0.0000&quot; Geld/kg&quot;"/>
    <numFmt numFmtId="202" formatCode="_-* #,##0.0000\ [$€-407]_-;\-* #,##0.0000\ [$€-407]_-;_-* &quot;-&quot;??\ [$€-407]_-;_-@_-"/>
    <numFmt numFmtId="203" formatCode="[$HUF]\ #,##0.00"/>
    <numFmt numFmtId="204" formatCode="_-* #,##0.00\ [$kr.-406]_-;\-* #,##0.00\ [$kr.-406]_-;_-* &quot;-&quot;??\ [$kr.-406]_-;_-@_-"/>
    <numFmt numFmtId="205" formatCode="0.00000000000000"/>
    <numFmt numFmtId="206" formatCode="0.000%"/>
    <numFmt numFmtId="207" formatCode="[$GBP]\ #,##0.00"/>
    <numFmt numFmtId="208" formatCode="[$GBP]\ #,##0.000"/>
  </numFmts>
  <fonts count="75">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9"/>
      <name val="Helvetica"/>
      <family val="2"/>
    </font>
    <font>
      <sz val="10"/>
      <color indexed="8"/>
      <name val="Arial"/>
      <family val="2"/>
    </font>
    <font>
      <b/>
      <sz val="16"/>
      <name val="Arial"/>
      <family val="2"/>
    </font>
    <font>
      <b/>
      <sz val="12"/>
      <name val="Arial"/>
      <family val="2"/>
    </font>
    <font>
      <sz val="8"/>
      <name val="Arial"/>
      <family val="2"/>
    </font>
    <font>
      <sz val="10"/>
      <name val="Helvetica"/>
      <family val="2"/>
    </font>
    <font>
      <u/>
      <sz val="10"/>
      <color indexed="12"/>
      <name val="Arial"/>
      <family val="2"/>
    </font>
    <font>
      <sz val="10"/>
      <name val="Helv"/>
    </font>
    <font>
      <b/>
      <sz val="20"/>
      <name val="Helvetica"/>
      <family val="2"/>
    </font>
    <font>
      <b/>
      <sz val="10"/>
      <name val="Helvetica"/>
      <family val="2"/>
    </font>
    <font>
      <sz val="11"/>
      <name val="Times New Roman"/>
      <family val="1"/>
    </font>
    <font>
      <b/>
      <sz val="14"/>
      <name val="Arial"/>
      <family val="2"/>
    </font>
    <font>
      <sz val="9"/>
      <name val="Times New Roman"/>
      <family val="1"/>
    </font>
    <font>
      <b/>
      <sz val="9"/>
      <name val="Times New Roman"/>
      <family val="1"/>
    </font>
    <font>
      <sz val="10"/>
      <color indexed="8"/>
      <name val="MS Sans Serif"/>
      <family val="2"/>
    </font>
    <font>
      <sz val="9"/>
      <name val="Helv"/>
    </font>
    <font>
      <sz val="9"/>
      <name val="Arial"/>
      <family val="2"/>
    </font>
    <font>
      <b/>
      <sz val="12"/>
      <name val="Times New Roman"/>
      <family val="1"/>
    </font>
    <font>
      <sz val="8"/>
      <name val="Helvetica"/>
      <family val="2"/>
    </font>
    <font>
      <b/>
      <vertAlign val="subscript"/>
      <sz val="10"/>
      <name val="Arial"/>
      <family val="2"/>
    </font>
    <font>
      <vertAlign val="subscript"/>
      <sz val="10"/>
      <name val="Arial"/>
      <family val="2"/>
    </font>
    <font>
      <vertAlign val="superscript"/>
      <sz val="10"/>
      <name val="Arial"/>
      <family val="2"/>
    </font>
    <font>
      <b/>
      <i/>
      <sz val="9"/>
      <name val="Arial"/>
      <family val="2"/>
    </font>
    <font>
      <b/>
      <sz val="8"/>
      <color indexed="81"/>
      <name val="Tahoma"/>
      <family val="2"/>
    </font>
    <font>
      <sz val="8"/>
      <color indexed="81"/>
      <name val="Tahoma"/>
      <family val="2"/>
    </font>
    <font>
      <u/>
      <sz val="10"/>
      <name val="Arial"/>
      <family val="2"/>
    </font>
    <font>
      <strike/>
      <sz val="10"/>
      <name val="Arial"/>
      <family val="2"/>
    </font>
    <font>
      <sz val="7"/>
      <name val="Helv"/>
      <family val="2"/>
    </font>
    <font>
      <sz val="9"/>
      <name val="Helv"/>
      <family val="2"/>
    </font>
    <font>
      <sz val="10"/>
      <name val="Geneva"/>
    </font>
    <font>
      <sz val="10"/>
      <name val="Trebuchet MS"/>
      <family val="2"/>
    </font>
    <font>
      <b/>
      <sz val="9"/>
      <name val="Helvetica"/>
      <family val="2"/>
    </font>
    <font>
      <sz val="9"/>
      <name val="Arial"/>
      <family val="2"/>
    </font>
    <font>
      <i/>
      <sz val="9"/>
      <name val="Helvetica"/>
      <family val="2"/>
    </font>
    <font>
      <sz val="10"/>
      <name val="Arial"/>
      <family val="2"/>
    </font>
    <font>
      <b/>
      <sz val="10"/>
      <color indexed="9"/>
      <name val="Arial"/>
      <family val="2"/>
    </font>
    <font>
      <sz val="10"/>
      <color theme="0" tint="-0.34998626667073579"/>
      <name val="Arial"/>
      <family val="2"/>
    </font>
    <font>
      <b/>
      <vertAlign val="subscript"/>
      <sz val="10"/>
      <color theme="0" tint="-0.34998626667073579"/>
      <name val="Arial"/>
      <family val="2"/>
    </font>
    <font>
      <b/>
      <sz val="10"/>
      <color theme="0" tint="-0.34998626667073579"/>
      <name val="Arial"/>
      <family val="2"/>
    </font>
    <font>
      <vertAlign val="subscript"/>
      <sz val="10"/>
      <color theme="0" tint="-0.34998626667073579"/>
      <name val="Arial"/>
      <family val="2"/>
    </font>
    <font>
      <sz val="11"/>
      <color indexed="8"/>
      <name val="Calibri"/>
      <family val="2"/>
    </font>
    <font>
      <sz val="9"/>
      <color indexed="81"/>
      <name val="Tahoma"/>
      <family val="2"/>
    </font>
    <font>
      <b/>
      <sz val="9"/>
      <color indexed="81"/>
      <name val="Tahoma"/>
      <family val="2"/>
    </font>
    <font>
      <vertAlign val="superscript"/>
      <sz val="9"/>
      <name val="Arial"/>
      <family val="2"/>
    </font>
    <font>
      <sz val="9"/>
      <color theme="1"/>
      <name val="Calibri"/>
      <family val="2"/>
      <scheme val="minor"/>
    </font>
    <font>
      <i/>
      <sz val="9"/>
      <name val="Arial"/>
      <family val="2"/>
    </font>
    <font>
      <b/>
      <sz val="10"/>
      <color rgb="FFFF0000"/>
      <name val="Arial"/>
      <family val="2"/>
    </font>
    <font>
      <sz val="10"/>
      <name val="Arial"/>
      <family val="2"/>
    </font>
    <font>
      <u/>
      <sz val="10"/>
      <color indexed="12"/>
      <name val="Arial"/>
      <family val="2"/>
    </font>
    <font>
      <i/>
      <sz val="10"/>
      <name val="Arial"/>
      <family val="2"/>
    </font>
    <font>
      <sz val="10"/>
      <name val="Arial"/>
      <family val="2"/>
    </font>
    <font>
      <sz val="11"/>
      <color theme="1"/>
      <name val="Tahoma"/>
      <family val="2"/>
    </font>
    <font>
      <sz val="9"/>
      <color indexed="81"/>
      <name val="Segoe UI"/>
      <family val="2"/>
    </font>
    <font>
      <b/>
      <sz val="9"/>
      <color indexed="81"/>
      <name val="Segoe UI"/>
      <family val="2"/>
    </font>
    <font>
      <sz val="9"/>
      <name val="Helvetica"/>
    </font>
    <font>
      <b/>
      <sz val="9"/>
      <name val="Helvetica"/>
    </font>
    <font>
      <sz val="9"/>
      <color indexed="10"/>
      <name val="Helvetica"/>
    </font>
    <font>
      <u/>
      <sz val="10"/>
      <color indexed="12"/>
      <name val="Helvetica"/>
    </font>
    <font>
      <u/>
      <sz val="9"/>
      <color indexed="12"/>
      <name val="Helvetica"/>
    </font>
    <font>
      <b/>
      <sz val="9"/>
      <color indexed="63"/>
      <name val="Helvetica"/>
    </font>
    <font>
      <sz val="9"/>
      <color indexed="63"/>
      <name val="Helvetica"/>
    </font>
    <font>
      <sz val="9"/>
      <color rgb="FF0000FF"/>
      <name val="Arial"/>
      <family val="2"/>
    </font>
    <font>
      <i/>
      <sz val="9"/>
      <name val="Helvetica"/>
    </font>
    <font>
      <sz val="10"/>
      <name val="MS Sans Serif"/>
      <family val="2"/>
    </font>
    <font>
      <sz val="11"/>
      <name val="Calibri"/>
      <family val="2"/>
    </font>
    <font>
      <sz val="12"/>
      <name val="Arial"/>
      <family val="2"/>
    </font>
    <font>
      <sz val="10"/>
      <color rgb="FFFF0000"/>
      <name val="Helvetica"/>
      <family val="2"/>
    </font>
    <font>
      <b/>
      <sz val="12"/>
      <name val="Helvetica"/>
      <family val="2"/>
    </font>
    <font>
      <u/>
      <sz val="12"/>
      <color indexed="12"/>
      <name val="Arial"/>
      <family val="2"/>
    </font>
  </fonts>
  <fills count="55">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indexed="52"/>
        <bgColor indexed="64"/>
      </patternFill>
    </fill>
    <fill>
      <patternFill patternType="solid">
        <fgColor indexed="51"/>
        <bgColor indexed="64"/>
      </patternFill>
    </fill>
    <fill>
      <patternFill patternType="solid">
        <fgColor indexed="46"/>
        <bgColor indexed="64"/>
      </patternFill>
    </fill>
    <fill>
      <patternFill patternType="solid">
        <fgColor indexed="40"/>
        <bgColor indexed="64"/>
      </patternFill>
    </fill>
    <fill>
      <patternFill patternType="solid">
        <fgColor indexed="11"/>
        <bgColor indexed="64"/>
      </patternFill>
    </fill>
    <fill>
      <patternFill patternType="solid">
        <fgColor indexed="22"/>
        <bgColor indexed="64"/>
      </patternFill>
    </fill>
    <fill>
      <patternFill patternType="solid">
        <fgColor indexed="58"/>
        <bgColor indexed="64"/>
      </patternFill>
    </fill>
    <fill>
      <patternFill patternType="solid">
        <fgColor indexed="53"/>
        <bgColor indexed="64"/>
      </patternFill>
    </fill>
    <fill>
      <patternFill patternType="solid">
        <fgColor indexed="44"/>
        <bgColor indexed="64"/>
      </patternFill>
    </fill>
    <fill>
      <patternFill patternType="solid">
        <fgColor indexed="15"/>
        <bgColor indexed="64"/>
      </patternFill>
    </fill>
    <fill>
      <patternFill patternType="solid">
        <fgColor indexed="10"/>
        <bgColor indexed="64"/>
      </patternFill>
    </fill>
    <fill>
      <patternFill patternType="solid">
        <fgColor theme="5" tint="0.39997558519241921"/>
        <bgColor indexed="64"/>
      </patternFill>
    </fill>
    <fill>
      <patternFill patternType="solid">
        <fgColor rgb="FF00B0F0"/>
        <bgColor indexed="64"/>
      </patternFill>
    </fill>
    <fill>
      <patternFill patternType="solid">
        <fgColor theme="6" tint="0.39997558519241921"/>
        <bgColor indexed="64"/>
      </patternFill>
    </fill>
    <fill>
      <patternFill patternType="solid">
        <fgColor rgb="FFFFC00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theme="0" tint="-0.14999847407452621"/>
        <bgColor indexed="64"/>
      </patternFill>
    </fill>
    <fill>
      <patternFill patternType="solid">
        <fgColor rgb="FFFF3399"/>
        <bgColor indexed="64"/>
      </patternFill>
    </fill>
    <fill>
      <patternFill patternType="solid">
        <fgColor rgb="FFFFFFCC"/>
        <bgColor indexed="64"/>
      </patternFill>
    </fill>
    <fill>
      <patternFill patternType="solid">
        <fgColor theme="7"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99CC"/>
        <bgColor indexed="64"/>
      </patternFill>
    </fill>
    <fill>
      <patternFill patternType="solid">
        <fgColor theme="7" tint="0.39997558519241921"/>
        <bgColor indexed="64"/>
      </patternFill>
    </fill>
    <fill>
      <patternFill patternType="solid">
        <fgColor rgb="FFB1A0C7"/>
        <bgColor rgb="FF000000"/>
      </patternFill>
    </fill>
    <fill>
      <patternFill patternType="solid">
        <fgColor theme="7" tint="-0.249977111117893"/>
        <bgColor indexed="64"/>
      </patternFill>
    </fill>
    <fill>
      <patternFill patternType="solid">
        <fgColor theme="7" tint="-0.249977111117893"/>
        <bgColor rgb="FF000000"/>
      </patternFill>
    </fill>
    <fill>
      <patternFill patternType="solid">
        <fgColor indexed="55"/>
        <bgColor indexed="64"/>
      </patternFill>
    </fill>
    <fill>
      <patternFill patternType="solid">
        <fgColor rgb="FFFF99CC"/>
        <bgColor rgb="FF000000"/>
      </patternFill>
    </fill>
    <fill>
      <patternFill patternType="solid">
        <fgColor rgb="FF00B050"/>
        <bgColor indexed="64"/>
      </patternFill>
    </fill>
    <fill>
      <patternFill patternType="solid">
        <fgColor rgb="FFCCFFFF"/>
        <bgColor indexed="64"/>
      </patternFill>
    </fill>
    <fill>
      <patternFill patternType="solid">
        <fgColor indexed="27"/>
        <bgColor indexed="64"/>
      </patternFill>
    </fill>
    <fill>
      <patternFill patternType="solid">
        <fgColor theme="4" tint="0.39997558519241921"/>
        <bgColor indexed="64"/>
      </patternFill>
    </fill>
    <fill>
      <patternFill patternType="solid">
        <fgColor theme="7"/>
        <bgColor indexed="64"/>
      </patternFill>
    </fill>
    <fill>
      <patternFill patternType="solid">
        <fgColor theme="0" tint="-4.9989318521683403E-2"/>
        <bgColor indexed="64"/>
      </patternFill>
    </fill>
    <fill>
      <patternFill patternType="solid">
        <fgColor theme="0"/>
        <bgColor indexed="64"/>
      </patternFill>
    </fill>
    <fill>
      <patternFill patternType="solid">
        <fgColor rgb="FF99FFCC"/>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59"/>
      </top>
      <bottom style="medium">
        <color indexed="5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64"/>
      </left>
      <right style="thin">
        <color theme="0" tint="-0.14996795556505021"/>
      </right>
      <top/>
      <bottom style="thin">
        <color indexed="64"/>
      </bottom>
      <diagonal/>
    </border>
    <border>
      <left style="thin">
        <color theme="0" tint="-0.14996795556505021"/>
      </left>
      <right style="thin">
        <color theme="0" tint="-0.14996795556505021"/>
      </right>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right/>
      <top/>
      <bottom style="thin">
        <color theme="0"/>
      </bottom>
      <diagonal/>
    </border>
    <border>
      <left style="thin">
        <color theme="0"/>
      </left>
      <right style="thin">
        <color theme="0"/>
      </right>
      <top/>
      <bottom style="thin">
        <color theme="0"/>
      </bottom>
      <diagonal/>
    </border>
    <border>
      <left/>
      <right/>
      <top style="thin">
        <color theme="0"/>
      </top>
      <bottom/>
      <diagonal/>
    </border>
    <border>
      <left style="thin">
        <color theme="0"/>
      </left>
      <right style="thin">
        <color theme="0"/>
      </right>
      <top style="thin">
        <color theme="0"/>
      </top>
      <bottom/>
      <diagonal/>
    </border>
    <border>
      <left/>
      <right/>
      <top style="thin">
        <color theme="0" tint="-0.14996795556505021"/>
      </top>
      <bottom/>
      <diagonal/>
    </border>
    <border>
      <left/>
      <right/>
      <top style="thin">
        <color theme="0" tint="-0.14996795556505021"/>
      </top>
      <bottom style="thin">
        <color theme="0" tint="-0.14996795556505021"/>
      </bottom>
      <diagonal/>
    </border>
    <border>
      <left/>
      <right/>
      <top style="thin">
        <color indexed="64"/>
      </top>
      <bottom style="thin">
        <color theme="0" tint="-0.14999847407452621"/>
      </bottom>
      <diagonal/>
    </border>
    <border>
      <left/>
      <right/>
      <top style="thin">
        <color theme="0" tint="-0.14999847407452621"/>
      </top>
      <bottom style="thin">
        <color theme="0" tint="-0.14999847407452621"/>
      </bottom>
      <diagonal/>
    </border>
    <border>
      <left/>
      <right/>
      <top/>
      <bottom style="thin">
        <color theme="0" tint="-0.14999847407452621"/>
      </bottom>
      <diagonal/>
    </border>
  </borders>
  <cellStyleXfs count="87">
    <xf numFmtId="0" fontId="0" fillId="0" borderId="0"/>
    <xf numFmtId="49" fontId="18" fillId="0" borderId="1" applyNumberFormat="0" applyFont="0" applyFill="0" applyBorder="0" applyProtection="0">
      <alignment horizontal="left" vertical="center" indent="2"/>
    </xf>
    <xf numFmtId="49" fontId="18" fillId="0" borderId="2" applyNumberFormat="0" applyFont="0" applyFill="0" applyBorder="0" applyProtection="0">
      <alignment horizontal="left" vertical="center" indent="5"/>
    </xf>
    <xf numFmtId="0" fontId="6" fillId="2" borderId="0">
      <alignment horizontal="left" vertical="center"/>
    </xf>
    <xf numFmtId="4" fontId="19" fillId="0" borderId="3" applyFill="0" applyBorder="0" applyProtection="0">
      <alignment horizontal="right" vertical="center"/>
    </xf>
    <xf numFmtId="187" fontId="5" fillId="0" borderId="0">
      <alignment vertical="center"/>
      <protection locked="0"/>
    </xf>
    <xf numFmtId="41" fontId="20" fillId="0" borderId="0" applyFont="0" applyFill="0" applyBorder="0" applyAlignment="0" applyProtection="0"/>
    <xf numFmtId="43" fontId="20" fillId="0" borderId="0" applyFont="0" applyFill="0" applyBorder="0" applyAlignment="0" applyProtection="0"/>
    <xf numFmtId="0" fontId="33" fillId="0" borderId="0">
      <alignment vertical="center"/>
    </xf>
    <xf numFmtId="42" fontId="20" fillId="0" borderId="0" applyFont="0" applyFill="0" applyBorder="0" applyAlignment="0" applyProtection="0"/>
    <xf numFmtId="44" fontId="20" fillId="0" borderId="0" applyFont="0" applyFill="0" applyBorder="0" applyAlignment="0" applyProtection="0"/>
    <xf numFmtId="164" fontId="3" fillId="0" borderId="0" applyFont="0" applyFill="0" applyBorder="0" applyAlignment="0" applyProtection="0"/>
    <xf numFmtId="177" fontId="21" fillId="0" borderId="0"/>
    <xf numFmtId="0" fontId="6" fillId="3" borderId="0">
      <alignment horizontal="center" vertical="center" wrapText="1"/>
    </xf>
    <xf numFmtId="185" fontId="34" fillId="4" borderId="0">
      <alignment horizontal="center" vertical="center"/>
    </xf>
    <xf numFmtId="0" fontId="22" fillId="0" borderId="0" applyFont="0" applyFill="0" applyBorder="0" applyAlignment="0" applyProtection="0">
      <alignment vertical="center"/>
    </xf>
    <xf numFmtId="0" fontId="23" fillId="0" borderId="0" applyNumberFormat="0" applyFill="0" applyBorder="0" applyAlignment="0" applyProtection="0"/>
    <xf numFmtId="0" fontId="12" fillId="0" borderId="0" applyNumberFormat="0" applyFill="0" applyBorder="0" applyAlignment="0" applyProtection="0">
      <alignment vertical="top"/>
      <protection locked="0"/>
    </xf>
    <xf numFmtId="178" fontId="5" fillId="0" borderId="0"/>
    <xf numFmtId="167" fontId="5" fillId="0" borderId="0">
      <alignment vertical="center"/>
      <protection locked="0"/>
    </xf>
    <xf numFmtId="168" fontId="5" fillId="0" borderId="0">
      <alignment vertical="center"/>
    </xf>
    <xf numFmtId="182" fontId="13" fillId="0" borderId="0"/>
    <xf numFmtId="0" fontId="6" fillId="4" borderId="0">
      <alignment horizontal="left" vertical="center"/>
    </xf>
    <xf numFmtId="181" fontId="13" fillId="0" borderId="0"/>
    <xf numFmtId="179" fontId="21" fillId="0" borderId="0"/>
    <xf numFmtId="166" fontId="5" fillId="0" borderId="0">
      <alignment vertical="center"/>
    </xf>
    <xf numFmtId="175" fontId="22" fillId="0" borderId="0">
      <alignment horizontal="center" vertical="center" wrapText="1"/>
    </xf>
    <xf numFmtId="183" fontId="21" fillId="0" borderId="0"/>
    <xf numFmtId="188" fontId="21" fillId="0" borderId="0"/>
    <xf numFmtId="4" fontId="18" fillId="0" borderId="1" applyFill="0" applyBorder="0" applyProtection="0">
      <alignment horizontal="right" vertical="center"/>
    </xf>
    <xf numFmtId="49" fontId="19" fillId="0" borderId="1" applyNumberFormat="0" applyFill="0" applyBorder="0" applyProtection="0">
      <alignment horizontal="left" vertical="center"/>
    </xf>
    <xf numFmtId="0" fontId="18" fillId="0" borderId="1" applyNumberFormat="0" applyFill="0" applyAlignment="0" applyProtection="0"/>
    <xf numFmtId="0" fontId="35" fillId="0" borderId="4" applyFont="0" applyFill="0" applyBorder="0" applyProtection="0">
      <alignment horizontal="center"/>
    </xf>
    <xf numFmtId="9" fontId="3" fillId="0" borderId="0" applyFont="0" applyFill="0" applyBorder="0" applyAlignment="0" applyProtection="0"/>
    <xf numFmtId="176" fontId="5" fillId="0" borderId="0"/>
    <xf numFmtId="165" fontId="3" fillId="5" borderId="0">
      <alignment horizontal="center" vertical="center"/>
    </xf>
    <xf numFmtId="0" fontId="6" fillId="0" borderId="0">
      <alignment vertical="center"/>
    </xf>
    <xf numFmtId="0" fontId="3" fillId="0" borderId="0"/>
    <xf numFmtId="0" fontId="3" fillId="0" borderId="0">
      <alignment vertical="center"/>
    </xf>
    <xf numFmtId="0" fontId="3" fillId="0" borderId="0"/>
    <xf numFmtId="190" fontId="5" fillId="0" borderId="0">
      <alignment vertical="center"/>
      <protection locked="0"/>
    </xf>
    <xf numFmtId="184" fontId="6" fillId="0" borderId="0">
      <alignment vertical="center" wrapText="1"/>
    </xf>
    <xf numFmtId="0" fontId="36" fillId="6" borderId="0">
      <alignment vertical="center" wrapText="1"/>
    </xf>
    <xf numFmtId="191" fontId="5" fillId="2" borderId="0">
      <alignment horizontal="right" vertical="center"/>
    </xf>
    <xf numFmtId="184" fontId="24" fillId="0" borderId="0">
      <alignment horizontal="center" vertical="center"/>
    </xf>
    <xf numFmtId="0" fontId="6" fillId="7" borderId="0">
      <alignment horizontal="left" vertical="center"/>
    </xf>
    <xf numFmtId="11" fontId="21" fillId="0" borderId="0"/>
    <xf numFmtId="11" fontId="3" fillId="0" borderId="0">
      <alignment vertical="center" wrapText="1"/>
    </xf>
    <xf numFmtId="175" fontId="5" fillId="0" borderId="0">
      <alignment horizontal="center" vertical="center"/>
    </xf>
    <xf numFmtId="185" fontId="5" fillId="0" borderId="0">
      <alignment horizontal="center" vertical="center"/>
    </xf>
    <xf numFmtId="180" fontId="13" fillId="0" borderId="0"/>
    <xf numFmtId="0" fontId="46" fillId="0" borderId="0"/>
    <xf numFmtId="9" fontId="3" fillId="0" borderId="0" applyFont="0" applyFill="0" applyBorder="0" applyProtection="0">
      <alignment horizontal="center" vertical="center"/>
    </xf>
    <xf numFmtId="168" fontId="3" fillId="0" borderId="0">
      <alignment vertical="center"/>
    </xf>
    <xf numFmtId="187" fontId="3" fillId="0" borderId="0">
      <alignment vertical="center"/>
      <protection locked="0"/>
    </xf>
    <xf numFmtId="197" fontId="3" fillId="0" borderId="0">
      <alignment vertical="center"/>
      <protection locked="0"/>
    </xf>
    <xf numFmtId="0" fontId="22" fillId="0" borderId="0">
      <alignment vertical="center"/>
    </xf>
    <xf numFmtId="190" fontId="3" fillId="0" borderId="0">
      <alignment vertical="center"/>
      <protection locked="0"/>
    </xf>
    <xf numFmtId="164" fontId="53" fillId="0" borderId="0" applyFont="0" applyFill="0" applyBorder="0" applyAlignment="0" applyProtection="0"/>
    <xf numFmtId="0" fontId="54" fillId="0" borderId="0" applyNumberFormat="0" applyFill="0" applyBorder="0" applyAlignment="0" applyProtection="0">
      <alignment vertical="top"/>
      <protection locked="0"/>
    </xf>
    <xf numFmtId="178" fontId="3" fillId="0" borderId="0"/>
    <xf numFmtId="167" fontId="3" fillId="0" borderId="0">
      <alignment vertical="center"/>
      <protection locked="0"/>
    </xf>
    <xf numFmtId="166" fontId="3" fillId="0" borderId="0">
      <alignment vertical="center"/>
    </xf>
    <xf numFmtId="9" fontId="53" fillId="0" borderId="0" applyFont="0" applyFill="0" applyBorder="0" applyAlignment="0" applyProtection="0"/>
    <xf numFmtId="176" fontId="3" fillId="0" borderId="0"/>
    <xf numFmtId="165" fontId="53" fillId="5" borderId="0">
      <alignment horizontal="center" vertical="center"/>
    </xf>
    <xf numFmtId="191" fontId="3" fillId="2" borderId="0">
      <alignment horizontal="right" vertical="center"/>
    </xf>
    <xf numFmtId="11" fontId="53" fillId="0" borderId="0">
      <alignment vertical="center" wrapText="1"/>
    </xf>
    <xf numFmtId="175" fontId="3" fillId="0" borderId="0">
      <alignment horizontal="center" vertical="center"/>
    </xf>
    <xf numFmtId="185" fontId="3" fillId="0" borderId="0">
      <alignment horizontal="center" vertical="center"/>
    </xf>
    <xf numFmtId="0" fontId="6" fillId="0" borderId="0">
      <alignment vertical="center"/>
    </xf>
    <xf numFmtId="164" fontId="56" fillId="0" borderId="0" applyFont="0" applyFill="0" applyBorder="0" applyAlignment="0" applyProtection="0"/>
    <xf numFmtId="9" fontId="56" fillId="0" borderId="0" applyFont="0" applyFill="0" applyBorder="0" applyAlignment="0" applyProtection="0"/>
    <xf numFmtId="0" fontId="20" fillId="0" borderId="0"/>
    <xf numFmtId="11" fontId="35" fillId="0" borderId="0" applyFont="0" applyFill="0" applyBorder="0" applyAlignment="0" applyProtection="0"/>
    <xf numFmtId="200" fontId="3" fillId="2" borderId="0">
      <alignment vertical="center"/>
    </xf>
    <xf numFmtId="0" fontId="57" fillId="0" borderId="0"/>
    <xf numFmtId="0" fontId="6" fillId="0" borderId="0"/>
    <xf numFmtId="0" fontId="63" fillId="0" borderId="0" applyNumberFormat="0" applyFill="0" applyBorder="0" applyAlignment="0" applyProtection="0">
      <alignment vertical="top"/>
      <protection locked="0"/>
    </xf>
    <xf numFmtId="0" fontId="3" fillId="0" borderId="0"/>
    <xf numFmtId="0" fontId="6" fillId="0" borderId="0">
      <alignment vertical="center"/>
    </xf>
    <xf numFmtId="0" fontId="6" fillId="0" borderId="0">
      <alignment vertical="center"/>
    </xf>
    <xf numFmtId="0" fontId="2" fillId="0" borderId="0"/>
    <xf numFmtId="0" fontId="22" fillId="0" borderId="0">
      <alignment horizontal="left" vertical="center" wrapText="1"/>
    </xf>
    <xf numFmtId="0" fontId="69" fillId="0" borderId="0"/>
    <xf numFmtId="0" fontId="1" fillId="0" borderId="0"/>
    <xf numFmtId="0" fontId="3" fillId="0" borderId="0"/>
  </cellStyleXfs>
  <cellXfs count="1071">
    <xf numFmtId="0" fontId="0" fillId="0" borderId="0" xfId="0"/>
    <xf numFmtId="0" fontId="0" fillId="8" borderId="0" xfId="0" applyFill="1"/>
    <xf numFmtId="0" fontId="0" fillId="8" borderId="0" xfId="0" applyFill="1" applyAlignment="1">
      <alignment horizontal="center"/>
    </xf>
    <xf numFmtId="0" fontId="0" fillId="0" borderId="0" xfId="0" applyAlignment="1">
      <alignment wrapText="1"/>
    </xf>
    <xf numFmtId="11" fontId="0" fillId="0" borderId="0" xfId="0" applyNumberFormat="1"/>
    <xf numFmtId="0" fontId="4" fillId="0" borderId="0" xfId="0" applyFont="1" applyAlignment="1">
      <alignment vertical="center" wrapText="1"/>
    </xf>
    <xf numFmtId="0" fontId="4" fillId="0" borderId="0" xfId="0" applyFont="1"/>
    <xf numFmtId="0" fontId="0" fillId="0" borderId="0" xfId="0" applyAlignment="1">
      <alignment vertical="center" wrapText="1"/>
    </xf>
    <xf numFmtId="0" fontId="4" fillId="0" borderId="0" xfId="0" applyFont="1" applyFill="1" applyAlignment="1">
      <alignment vertical="center"/>
    </xf>
    <xf numFmtId="0" fontId="0" fillId="0" borderId="0" xfId="0" applyFill="1" applyAlignment="1">
      <alignment vertical="center"/>
    </xf>
    <xf numFmtId="0" fontId="5" fillId="0" borderId="0" xfId="0" applyFont="1" applyFill="1" applyBorder="1" applyAlignment="1">
      <alignment horizontal="left" vertical="center"/>
    </xf>
    <xf numFmtId="0" fontId="0" fillId="0" borderId="0" xfId="0" applyFill="1" applyBorder="1" applyAlignment="1">
      <alignment horizontal="left" vertical="center"/>
    </xf>
    <xf numFmtId="1" fontId="0" fillId="8" borderId="0" xfId="0" applyNumberFormat="1" applyFill="1"/>
    <xf numFmtId="172" fontId="0" fillId="8" borderId="0" xfId="11" applyNumberFormat="1" applyFont="1" applyFill="1" applyAlignment="1">
      <alignment horizontal="center"/>
    </xf>
    <xf numFmtId="172" fontId="0" fillId="8" borderId="0" xfId="11" applyNumberFormat="1" applyFont="1" applyFill="1"/>
    <xf numFmtId="0" fontId="9" fillId="2" borderId="0" xfId="0" applyFont="1" applyFill="1" applyBorder="1" applyAlignment="1" applyProtection="1">
      <alignment vertical="center"/>
    </xf>
    <xf numFmtId="172" fontId="4" fillId="2" borderId="0" xfId="11" applyNumberFormat="1" applyFont="1" applyFill="1" applyBorder="1" applyAlignment="1" applyProtection="1">
      <alignment vertical="center"/>
    </xf>
    <xf numFmtId="0" fontId="5" fillId="0" borderId="0" xfId="0" applyFont="1"/>
    <xf numFmtId="0" fontId="5" fillId="2" borderId="0" xfId="0" applyFont="1" applyFill="1" applyAlignment="1">
      <alignment vertical="center"/>
    </xf>
    <xf numFmtId="172" fontId="5" fillId="2" borderId="0" xfId="11" applyNumberFormat="1" applyFont="1" applyFill="1" applyBorder="1" applyAlignment="1" applyProtection="1">
      <alignment vertical="center"/>
    </xf>
    <xf numFmtId="0" fontId="5" fillId="5" borderId="0" xfId="0" applyFont="1" applyFill="1"/>
    <xf numFmtId="0" fontId="5" fillId="0" borderId="0" xfId="0" applyFont="1" applyAlignment="1" applyProtection="1">
      <alignment vertical="center"/>
    </xf>
    <xf numFmtId="0" fontId="5" fillId="5" borderId="0" xfId="0" applyFont="1" applyFill="1" applyBorder="1" applyAlignment="1" applyProtection="1">
      <alignment horizontal="center" vertical="center"/>
    </xf>
    <xf numFmtId="0" fontId="0" fillId="4" borderId="0" xfId="0" applyFill="1"/>
    <xf numFmtId="0" fontId="0" fillId="7" borderId="0" xfId="0" applyFill="1"/>
    <xf numFmtId="14" fontId="5" fillId="0" borderId="0" xfId="0" applyNumberFormat="1" applyFont="1" applyFill="1" applyBorder="1" applyAlignment="1" applyProtection="1">
      <alignment horizontal="right" vertical="center"/>
    </xf>
    <xf numFmtId="0" fontId="5" fillId="5" borderId="0" xfId="0" applyFont="1" applyFill="1" applyAlignment="1">
      <alignment vertical="center" wrapText="1"/>
    </xf>
    <xf numFmtId="0" fontId="32" fillId="0" borderId="0" xfId="0" applyFont="1"/>
    <xf numFmtId="165" fontId="6" fillId="0" borderId="1" xfId="33" applyNumberFormat="1" applyFont="1" applyBorder="1" applyAlignment="1">
      <alignment vertical="center"/>
    </xf>
    <xf numFmtId="0" fontId="6" fillId="0" borderId="1" xfId="36" applyFont="1" applyBorder="1">
      <alignment vertical="center"/>
    </xf>
    <xf numFmtId="0" fontId="6" fillId="0" borderId="1" xfId="36" applyFont="1" applyBorder="1" applyAlignment="1">
      <alignment horizontal="center" vertical="center"/>
    </xf>
    <xf numFmtId="0" fontId="37" fillId="0" borderId="1" xfId="36" applyFont="1" applyBorder="1">
      <alignment vertical="center"/>
    </xf>
    <xf numFmtId="0" fontId="37" fillId="0" borderId="1" xfId="36" applyFont="1" applyBorder="1" applyAlignment="1">
      <alignment horizontal="center" vertical="center"/>
    </xf>
    <xf numFmtId="0" fontId="37" fillId="0" borderId="1" xfId="36" applyFont="1" applyBorder="1" applyAlignment="1">
      <alignment horizontal="right" vertical="center"/>
    </xf>
    <xf numFmtId="0" fontId="6" fillId="0" borderId="0" xfId="36" applyFont="1">
      <alignment vertical="center"/>
    </xf>
    <xf numFmtId="171" fontId="6" fillId="0" borderId="1" xfId="11" applyNumberFormat="1" applyFont="1" applyBorder="1" applyAlignment="1">
      <alignment vertical="center"/>
    </xf>
    <xf numFmtId="164" fontId="6" fillId="0" borderId="1" xfId="11" applyFont="1" applyBorder="1" applyAlignment="1">
      <alignment vertical="center"/>
    </xf>
    <xf numFmtId="9" fontId="6" fillId="0" borderId="1" xfId="33" applyFont="1" applyBorder="1" applyAlignment="1">
      <alignment vertical="center"/>
    </xf>
    <xf numFmtId="0" fontId="38" fillId="0" borderId="1" xfId="0" applyFont="1" applyBorder="1" applyAlignment="1">
      <alignment vertical="center" wrapText="1"/>
    </xf>
    <xf numFmtId="0" fontId="38" fillId="0" borderId="0" xfId="0" applyFont="1"/>
    <xf numFmtId="0" fontId="38" fillId="0" borderId="0" xfId="0" applyFont="1" applyAlignment="1">
      <alignment vertical="center" wrapText="1"/>
    </xf>
    <xf numFmtId="0" fontId="6" fillId="0" borderId="1" xfId="36" applyFont="1" applyBorder="1" applyAlignment="1">
      <alignment horizontal="right" vertical="center"/>
    </xf>
    <xf numFmtId="165" fontId="6" fillId="0" borderId="1" xfId="33" applyNumberFormat="1" applyFont="1" applyBorder="1" applyAlignment="1">
      <alignment horizontal="right" vertical="center"/>
    </xf>
    <xf numFmtId="9" fontId="22" fillId="0" borderId="1" xfId="33" applyFont="1" applyBorder="1"/>
    <xf numFmtId="0" fontId="37" fillId="8" borderId="1" xfId="36" applyFont="1" applyFill="1" applyBorder="1">
      <alignment vertical="center"/>
    </xf>
    <xf numFmtId="0" fontId="37" fillId="8" borderId="1" xfId="36" applyFont="1" applyFill="1" applyBorder="1" applyAlignment="1">
      <alignment horizontal="center" vertical="center"/>
    </xf>
    <xf numFmtId="0" fontId="6" fillId="8" borderId="1" xfId="36" applyFont="1" applyFill="1" applyBorder="1">
      <alignment vertical="center"/>
    </xf>
    <xf numFmtId="0" fontId="6" fillId="8" borderId="1" xfId="36" applyFont="1" applyFill="1" applyBorder="1" applyAlignment="1">
      <alignment horizontal="center" vertical="center"/>
    </xf>
    <xf numFmtId="9" fontId="6" fillId="8" borderId="1" xfId="33" applyFont="1" applyFill="1" applyBorder="1" applyAlignment="1">
      <alignment vertical="center"/>
    </xf>
    <xf numFmtId="0" fontId="6" fillId="8" borderId="0" xfId="36" applyFont="1" applyFill="1">
      <alignment vertical="center"/>
    </xf>
    <xf numFmtId="171" fontId="6" fillId="0" borderId="1" xfId="11" applyNumberFormat="1" applyFont="1" applyFill="1" applyBorder="1" applyAlignment="1">
      <alignment vertical="center"/>
    </xf>
    <xf numFmtId="164" fontId="6" fillId="0" borderId="1" xfId="11" applyFont="1" applyFill="1" applyBorder="1" applyAlignment="1">
      <alignment vertical="center"/>
    </xf>
    <xf numFmtId="9" fontId="6" fillId="0" borderId="0" xfId="33" applyFont="1" applyAlignment="1">
      <alignment vertical="center"/>
    </xf>
    <xf numFmtId="0" fontId="37" fillId="0" borderId="1" xfId="36" applyFont="1" applyFill="1" applyBorder="1" applyAlignment="1">
      <alignment horizontal="center" vertical="center"/>
    </xf>
    <xf numFmtId="0" fontId="6" fillId="0" borderId="1" xfId="36" applyFont="1" applyFill="1" applyBorder="1" applyAlignment="1">
      <alignment horizontal="center" vertical="center"/>
    </xf>
    <xf numFmtId="9" fontId="6" fillId="0" borderId="1" xfId="33" applyFont="1" applyFill="1" applyBorder="1" applyAlignment="1">
      <alignment vertical="center"/>
    </xf>
    <xf numFmtId="0" fontId="6" fillId="0" borderId="0" xfId="36" applyFont="1" applyFill="1">
      <alignment vertical="center"/>
    </xf>
    <xf numFmtId="9" fontId="6" fillId="0" borderId="0" xfId="33" applyFont="1" applyFill="1" applyAlignment="1">
      <alignment vertical="center"/>
    </xf>
    <xf numFmtId="164" fontId="0" fillId="8" borderId="0" xfId="11" applyFont="1" applyFill="1"/>
    <xf numFmtId="172" fontId="0" fillId="8" borderId="0" xfId="0" applyNumberFormat="1" applyFill="1"/>
    <xf numFmtId="0" fontId="39" fillId="8" borderId="1" xfId="36" applyFont="1" applyFill="1" applyBorder="1">
      <alignment vertical="center"/>
    </xf>
    <xf numFmtId="0" fontId="39" fillId="8" borderId="1" xfId="36" applyFont="1" applyFill="1" applyBorder="1" applyAlignment="1">
      <alignment horizontal="center" vertical="center"/>
    </xf>
    <xf numFmtId="9" fontId="0" fillId="0" borderId="0" xfId="33" applyFont="1"/>
    <xf numFmtId="0" fontId="0" fillId="12" borderId="0" xfId="0" applyFill="1" applyAlignment="1">
      <alignment horizontal="center"/>
    </xf>
    <xf numFmtId="0" fontId="0" fillId="13" borderId="0" xfId="0" applyFill="1" applyAlignment="1">
      <alignment horizontal="center"/>
    </xf>
    <xf numFmtId="11" fontId="3" fillId="7" borderId="0" xfId="47" applyFill="1">
      <alignment vertical="center" wrapText="1"/>
    </xf>
    <xf numFmtId="0" fontId="0" fillId="14" borderId="0" xfId="0" applyFill="1" applyAlignment="1">
      <alignment horizontal="center"/>
    </xf>
    <xf numFmtId="0" fontId="0" fillId="16" borderId="0" xfId="0" applyFill="1" applyAlignment="1">
      <alignment horizontal="center"/>
    </xf>
    <xf numFmtId="192" fontId="3" fillId="7" borderId="0" xfId="47" applyNumberFormat="1" applyFill="1">
      <alignment vertical="center" wrapText="1"/>
    </xf>
    <xf numFmtId="0" fontId="0" fillId="5" borderId="0" xfId="0" applyFill="1"/>
    <xf numFmtId="11" fontId="3" fillId="5" borderId="0" xfId="47" applyFill="1">
      <alignment vertical="center" wrapText="1"/>
    </xf>
    <xf numFmtId="0" fontId="0" fillId="5" borderId="0" xfId="0" applyFill="1" applyAlignment="1">
      <alignment wrapText="1"/>
    </xf>
    <xf numFmtId="172" fontId="4" fillId="3" borderId="0" xfId="11" applyNumberFormat="1" applyFont="1" applyFill="1" applyBorder="1" applyAlignment="1" applyProtection="1">
      <alignment vertical="center"/>
    </xf>
    <xf numFmtId="172" fontId="5" fillId="3" borderId="0" xfId="11" applyNumberFormat="1" applyFont="1" applyFill="1" applyBorder="1" applyAlignment="1" applyProtection="1">
      <alignment vertical="center"/>
    </xf>
    <xf numFmtId="171" fontId="0" fillId="8" borderId="0" xfId="11" applyNumberFormat="1" applyFont="1" applyFill="1"/>
    <xf numFmtId="0" fontId="4" fillId="2" borderId="0" xfId="0" applyFont="1" applyFill="1" applyBorder="1" applyAlignment="1" applyProtection="1">
      <alignment vertical="center"/>
    </xf>
    <xf numFmtId="0" fontId="4" fillId="0" borderId="0" xfId="0" applyFont="1" applyFill="1" applyBorder="1" applyAlignment="1" applyProtection="1">
      <alignment horizontal="left" vertical="center"/>
      <protection locked="0"/>
    </xf>
    <xf numFmtId="0" fontId="12" fillId="0" borderId="0" xfId="17" applyAlignment="1" applyProtection="1"/>
    <xf numFmtId="0" fontId="8" fillId="2" borderId="0" xfId="0" applyFont="1" applyFill="1" applyAlignment="1" applyProtection="1">
      <alignment vertical="center"/>
    </xf>
    <xf numFmtId="0" fontId="4" fillId="2" borderId="0" xfId="0" applyFont="1" applyFill="1" applyAlignment="1" applyProtection="1">
      <alignment vertical="center"/>
    </xf>
    <xf numFmtId="0" fontId="5" fillId="0" borderId="0" xfId="0" applyFont="1" applyProtection="1"/>
    <xf numFmtId="0" fontId="5" fillId="0" borderId="0" xfId="0" applyFont="1" applyAlignment="1" applyProtection="1">
      <alignment horizontal="center"/>
    </xf>
    <xf numFmtId="0" fontId="17" fillId="4" borderId="0" xfId="0" applyFont="1" applyFill="1" applyAlignment="1" applyProtection="1">
      <alignment horizontal="left" vertical="center"/>
    </xf>
    <xf numFmtId="0" fontId="5" fillId="4" borderId="0" xfId="0" applyFont="1" applyFill="1" applyProtection="1"/>
    <xf numFmtId="0" fontId="5" fillId="4" borderId="0" xfId="0" applyFont="1" applyFill="1" applyAlignment="1" applyProtection="1">
      <alignment horizontal="center" wrapText="1"/>
    </xf>
    <xf numFmtId="0" fontId="5" fillId="4" borderId="0" xfId="0" applyFont="1" applyFill="1" applyAlignment="1" applyProtection="1">
      <alignment horizontal="center"/>
    </xf>
    <xf numFmtId="0" fontId="5" fillId="2" borderId="0" xfId="0" applyFont="1" applyFill="1" applyAlignment="1" applyProtection="1">
      <alignment horizontal="center" vertical="center" wrapText="1"/>
    </xf>
    <xf numFmtId="9" fontId="4" fillId="4" borderId="0" xfId="33" applyFont="1" applyFill="1" applyProtection="1"/>
    <xf numFmtId="0" fontId="5" fillId="2" borderId="0" xfId="0" applyFont="1" applyFill="1" applyAlignment="1" applyProtection="1">
      <alignment horizontal="center" vertical="center"/>
    </xf>
    <xf numFmtId="0" fontId="5" fillId="4" borderId="0" xfId="0" applyFont="1" applyFill="1" applyAlignment="1" applyProtection="1">
      <alignment vertical="center"/>
    </xf>
    <xf numFmtId="0" fontId="5" fillId="4" borderId="0" xfId="0" applyFont="1" applyFill="1" applyAlignment="1" applyProtection="1">
      <alignment horizontal="center" vertical="center"/>
    </xf>
    <xf numFmtId="9" fontId="5" fillId="4" borderId="0" xfId="33" applyFont="1" applyFill="1" applyProtection="1"/>
    <xf numFmtId="0" fontId="4" fillId="4" borderId="0" xfId="0" applyFont="1" applyFill="1" applyAlignment="1" applyProtection="1">
      <alignment vertical="center"/>
    </xf>
    <xf numFmtId="0" fontId="5" fillId="0" borderId="0" xfId="0" applyFont="1" applyFill="1" applyProtection="1"/>
    <xf numFmtId="0" fontId="4" fillId="0" borderId="0" xfId="0" applyFont="1" applyFill="1" applyAlignment="1" applyProtection="1">
      <alignment vertical="center"/>
    </xf>
    <xf numFmtId="9" fontId="4" fillId="0" borderId="0" xfId="33" applyFont="1" applyFill="1" applyAlignment="1" applyProtection="1">
      <alignment horizontal="center"/>
    </xf>
    <xf numFmtId="9" fontId="4" fillId="0" borderId="0" xfId="33" applyFont="1" applyFill="1" applyProtection="1"/>
    <xf numFmtId="0" fontId="4" fillId="3" borderId="0" xfId="0" applyFont="1" applyFill="1" applyAlignment="1" applyProtection="1">
      <alignment vertical="center"/>
    </xf>
    <xf numFmtId="0" fontId="5" fillId="3" borderId="0" xfId="0" applyFont="1" applyFill="1" applyAlignment="1" applyProtection="1">
      <alignment horizontal="center" vertical="center"/>
    </xf>
    <xf numFmtId="9" fontId="4" fillId="3" borderId="0" xfId="33" applyFont="1" applyFill="1" applyAlignment="1" applyProtection="1">
      <alignment horizontal="center"/>
    </xf>
    <xf numFmtId="9" fontId="4" fillId="3" borderId="0" xfId="33" applyFont="1" applyFill="1" applyProtection="1"/>
    <xf numFmtId="0" fontId="5" fillId="5" borderId="7" xfId="0" applyFont="1" applyFill="1" applyBorder="1" applyProtection="1"/>
    <xf numFmtId="0" fontId="4" fillId="5" borderId="8" xfId="0" applyFont="1" applyFill="1" applyBorder="1" applyAlignment="1" applyProtection="1">
      <alignment horizontal="center" vertical="center"/>
    </xf>
    <xf numFmtId="0" fontId="0" fillId="5" borderId="8" xfId="0" applyFill="1" applyBorder="1" applyAlignment="1" applyProtection="1">
      <alignment horizontal="center" vertical="center"/>
    </xf>
    <xf numFmtId="0" fontId="0" fillId="5" borderId="9" xfId="0" applyFill="1" applyBorder="1" applyAlignment="1" applyProtection="1">
      <alignment horizontal="right" vertical="center"/>
    </xf>
    <xf numFmtId="0" fontId="5" fillId="5" borderId="10" xfId="0" applyFont="1" applyFill="1" applyBorder="1" applyProtection="1"/>
    <xf numFmtId="0" fontId="5" fillId="5" borderId="11" xfId="0" applyFont="1" applyFill="1" applyBorder="1" applyAlignment="1" applyProtection="1">
      <alignment horizontal="center" vertical="center"/>
    </xf>
    <xf numFmtId="0" fontId="5" fillId="3" borderId="0" xfId="0" applyFont="1" applyFill="1" applyAlignment="1" applyProtection="1">
      <alignment vertical="center"/>
    </xf>
    <xf numFmtId="168" fontId="5" fillId="3" borderId="0" xfId="20" applyFont="1" applyFill="1" applyAlignment="1" applyProtection="1">
      <alignment vertical="center"/>
    </xf>
    <xf numFmtId="9" fontId="5" fillId="3" borderId="0" xfId="33" applyFont="1" applyFill="1" applyProtection="1"/>
    <xf numFmtId="174" fontId="5" fillId="0" borderId="0" xfId="0" applyNumberFormat="1" applyFont="1" applyFill="1" applyProtection="1"/>
    <xf numFmtId="190" fontId="5" fillId="3" borderId="0" xfId="40" applyFill="1" applyProtection="1">
      <alignment vertical="center"/>
    </xf>
    <xf numFmtId="0" fontId="5" fillId="18" borderId="0" xfId="0" applyFont="1" applyFill="1" applyProtection="1"/>
    <xf numFmtId="174" fontId="5" fillId="18" borderId="0" xfId="0" applyNumberFormat="1" applyFont="1" applyFill="1" applyProtection="1"/>
    <xf numFmtId="9" fontId="5" fillId="18" borderId="0" xfId="33" applyFont="1" applyFill="1" applyProtection="1"/>
    <xf numFmtId="0" fontId="10" fillId="2" borderId="0" xfId="0" applyFont="1" applyFill="1" applyBorder="1" applyAlignment="1" applyProtection="1">
      <alignment horizontal="center" vertical="center" wrapText="1"/>
    </xf>
    <xf numFmtId="172" fontId="5" fillId="5" borderId="11" xfId="0" applyNumberFormat="1" applyFont="1" applyFill="1" applyBorder="1"/>
    <xf numFmtId="174" fontId="5" fillId="5" borderId="13" xfId="0" applyNumberFormat="1" applyFont="1" applyFill="1" applyBorder="1"/>
    <xf numFmtId="173" fontId="5" fillId="5" borderId="13" xfId="0" applyNumberFormat="1" applyFont="1" applyFill="1" applyBorder="1"/>
    <xf numFmtId="164" fontId="5" fillId="5" borderId="13" xfId="0" applyNumberFormat="1" applyFont="1" applyFill="1" applyBorder="1"/>
    <xf numFmtId="172" fontId="5" fillId="5" borderId="14" xfId="0" applyNumberFormat="1" applyFont="1" applyFill="1" applyBorder="1"/>
    <xf numFmtId="0" fontId="5" fillId="17" borderId="0" xfId="0" applyFont="1" applyFill="1" applyAlignment="1" applyProtection="1">
      <alignment vertical="center"/>
    </xf>
    <xf numFmtId="0" fontId="4" fillId="17" borderId="0" xfId="0" applyFont="1" applyFill="1" applyAlignment="1" applyProtection="1">
      <alignment vertical="center"/>
    </xf>
    <xf numFmtId="0" fontId="4" fillId="2" borderId="0" xfId="0" applyFont="1" applyFill="1" applyAlignment="1" applyProtection="1">
      <alignment horizontal="left" vertical="center"/>
    </xf>
    <xf numFmtId="0" fontId="4" fillId="2" borderId="0" xfId="0" applyFont="1" applyFill="1" applyBorder="1" applyAlignment="1" applyProtection="1">
      <alignment horizontal="left" vertical="center"/>
    </xf>
    <xf numFmtId="0" fontId="4" fillId="18" borderId="0" xfId="0" applyFont="1" applyFill="1" applyAlignment="1">
      <alignment vertical="center"/>
    </xf>
    <xf numFmtId="0" fontId="0" fillId="18" borderId="0" xfId="0" applyFill="1" applyAlignment="1">
      <alignment vertical="center"/>
    </xf>
    <xf numFmtId="0" fontId="5" fillId="18" borderId="0" xfId="38" applyFont="1" applyFill="1" applyAlignment="1">
      <alignment vertical="center" wrapText="1"/>
    </xf>
    <xf numFmtId="0" fontId="5" fillId="18" borderId="0" xfId="38" applyFont="1" applyFill="1" applyAlignment="1">
      <alignment horizontal="left"/>
    </xf>
    <xf numFmtId="0" fontId="0" fillId="18" borderId="0" xfId="0" applyFill="1" applyBorder="1" applyAlignment="1">
      <alignment horizontal="left" vertical="center"/>
    </xf>
    <xf numFmtId="0" fontId="5" fillId="18" borderId="0" xfId="0" applyFont="1" applyFill="1" applyAlignment="1">
      <alignment vertical="center" wrapText="1"/>
    </xf>
    <xf numFmtId="0" fontId="0" fillId="18" borderId="0" xfId="0" applyFill="1" applyAlignment="1">
      <alignment vertical="center" wrapText="1"/>
    </xf>
    <xf numFmtId="0" fontId="0" fillId="0" borderId="0" xfId="0" applyFill="1"/>
    <xf numFmtId="164" fontId="0" fillId="0" borderId="0" xfId="11" applyFont="1"/>
    <xf numFmtId="169" fontId="0" fillId="8" borderId="0" xfId="0" applyNumberFormat="1" applyFill="1"/>
    <xf numFmtId="169" fontId="0" fillId="0" borderId="0" xfId="0" applyNumberFormat="1"/>
    <xf numFmtId="0" fontId="3" fillId="18" borderId="0" xfId="0" applyFont="1" applyFill="1" applyAlignment="1">
      <alignment vertical="center"/>
    </xf>
    <xf numFmtId="0" fontId="3" fillId="18" borderId="0" xfId="0" applyFont="1" applyFill="1" applyBorder="1" applyAlignment="1">
      <alignment horizontal="left" vertical="center"/>
    </xf>
    <xf numFmtId="0" fontId="3" fillId="18" borderId="15" xfId="0" applyFont="1" applyFill="1" applyBorder="1" applyAlignment="1">
      <alignment horizontal="left"/>
    </xf>
    <xf numFmtId="0" fontId="3" fillId="18" borderId="0" xfId="0" applyFont="1" applyFill="1"/>
    <xf numFmtId="0" fontId="5" fillId="7" borderId="0" xfId="0" applyFont="1" applyFill="1" applyAlignment="1" applyProtection="1">
      <alignment horizontal="center" vertical="center" wrapText="1"/>
    </xf>
    <xf numFmtId="0" fontId="5" fillId="7" borderId="0" xfId="0" applyFont="1" applyFill="1" applyAlignment="1" applyProtection="1">
      <alignment horizontal="center" vertical="center"/>
    </xf>
    <xf numFmtId="9" fontId="5" fillId="7" borderId="0" xfId="33" applyFont="1" applyFill="1" applyProtection="1"/>
    <xf numFmtId="9" fontId="6" fillId="0" borderId="1" xfId="11" applyNumberFormat="1" applyFont="1" applyFill="1" applyBorder="1" applyAlignment="1">
      <alignment vertical="center"/>
    </xf>
    <xf numFmtId="0" fontId="6" fillId="23" borderId="1" xfId="36" applyFont="1" applyFill="1" applyBorder="1" applyAlignment="1">
      <alignment horizontal="center" vertical="center"/>
    </xf>
    <xf numFmtId="164" fontId="6" fillId="23" borderId="1" xfId="36" applyNumberFormat="1" applyFont="1" applyFill="1" applyBorder="1" applyAlignment="1">
      <alignment horizontal="center" vertical="center"/>
    </xf>
    <xf numFmtId="0" fontId="6" fillId="23" borderId="0" xfId="36" applyFont="1" applyFill="1">
      <alignment vertical="center"/>
    </xf>
    <xf numFmtId="0" fontId="0" fillId="0" borderId="0" xfId="0" applyAlignment="1">
      <alignment vertical="center"/>
    </xf>
    <xf numFmtId="11" fontId="3" fillId="25" borderId="0" xfId="47" applyFill="1">
      <alignment vertical="center" wrapText="1"/>
    </xf>
    <xf numFmtId="0" fontId="3" fillId="0" borderId="0" xfId="0" applyFont="1"/>
    <xf numFmtId="172" fontId="5" fillId="26" borderId="0" xfId="11" applyNumberFormat="1" applyFont="1" applyFill="1" applyBorder="1" applyAlignment="1" applyProtection="1">
      <alignment vertical="center"/>
    </xf>
    <xf numFmtId="0" fontId="4" fillId="27" borderId="0" xfId="0" applyFont="1" applyFill="1" applyAlignment="1" applyProtection="1">
      <alignment vertical="center"/>
    </xf>
    <xf numFmtId="0" fontId="5" fillId="27" borderId="0" xfId="0" applyFont="1" applyFill="1" applyAlignment="1" applyProtection="1">
      <alignment horizontal="center" vertical="center"/>
    </xf>
    <xf numFmtId="9" fontId="4" fillId="27" borderId="0" xfId="33" applyFont="1" applyFill="1" applyAlignment="1" applyProtection="1">
      <alignment horizontal="center"/>
    </xf>
    <xf numFmtId="9" fontId="4" fillId="27" borderId="0" xfId="33" applyFont="1" applyFill="1" applyProtection="1"/>
    <xf numFmtId="168" fontId="5" fillId="27" borderId="0" xfId="20" applyFont="1" applyFill="1" applyAlignment="1" applyProtection="1">
      <alignment vertical="center"/>
    </xf>
    <xf numFmtId="172" fontId="5" fillId="27" borderId="0" xfId="11" applyNumberFormat="1" applyFont="1" applyFill="1" applyBorder="1" applyAlignment="1" applyProtection="1">
      <alignment vertical="center"/>
    </xf>
    <xf numFmtId="9" fontId="5" fillId="27" borderId="0" xfId="33" applyFont="1" applyFill="1" applyProtection="1"/>
    <xf numFmtId="190" fontId="5" fillId="27" borderId="0" xfId="40" applyFill="1" applyProtection="1">
      <alignment vertical="center"/>
    </xf>
    <xf numFmtId="0" fontId="5" fillId="28" borderId="7" xfId="0" applyFont="1" applyFill="1" applyBorder="1" applyProtection="1"/>
    <xf numFmtId="0" fontId="4" fillId="28" borderId="8" xfId="0" applyFont="1" applyFill="1" applyBorder="1" applyAlignment="1" applyProtection="1">
      <alignment horizontal="center" vertical="center"/>
    </xf>
    <xf numFmtId="0" fontId="0" fillId="28" borderId="8" xfId="0" applyFill="1" applyBorder="1" applyAlignment="1" applyProtection="1">
      <alignment horizontal="center" vertical="center"/>
    </xf>
    <xf numFmtId="0" fontId="0" fillId="28" borderId="9" xfId="0" applyFill="1" applyBorder="1" applyAlignment="1" applyProtection="1">
      <alignment horizontal="right" vertical="center"/>
    </xf>
    <xf numFmtId="0" fontId="5" fillId="28" borderId="10" xfId="0" applyFont="1" applyFill="1" applyBorder="1" applyProtection="1"/>
    <xf numFmtId="0" fontId="5" fillId="28" borderId="0" xfId="0" applyFont="1" applyFill="1" applyBorder="1" applyAlignment="1" applyProtection="1">
      <alignment horizontal="center" vertical="center"/>
    </xf>
    <xf numFmtId="165" fontId="5" fillId="26" borderId="0" xfId="33" applyNumberFormat="1" applyFont="1" applyFill="1" applyProtection="1"/>
    <xf numFmtId="172" fontId="5" fillId="0" borderId="0" xfId="0" applyNumberFormat="1" applyFont="1" applyProtection="1"/>
    <xf numFmtId="174" fontId="5" fillId="27" borderId="13" xfId="0" applyNumberFormat="1" applyFont="1" applyFill="1" applyBorder="1"/>
    <xf numFmtId="0" fontId="3" fillId="0" borderId="0" xfId="0" applyFont="1" applyProtection="1"/>
    <xf numFmtId="0" fontId="0" fillId="25" borderId="0" xfId="0" applyFill="1"/>
    <xf numFmtId="0" fontId="0" fillId="23" borderId="0" xfId="0" applyFill="1"/>
    <xf numFmtId="0" fontId="3" fillId="0" borderId="0" xfId="0" applyFont="1" applyAlignment="1" applyProtection="1">
      <alignment vertical="center"/>
    </xf>
    <xf numFmtId="0" fontId="3" fillId="2" borderId="0" xfId="0" applyFont="1" applyFill="1" applyAlignment="1" applyProtection="1">
      <alignment vertical="center"/>
    </xf>
    <xf numFmtId="11" fontId="3" fillId="2" borderId="0" xfId="0" applyNumberFormat="1" applyFont="1" applyFill="1" applyBorder="1" applyAlignment="1" applyProtection="1">
      <alignment vertical="center"/>
    </xf>
    <xf numFmtId="0" fontId="3" fillId="2" borderId="0" xfId="0" applyFont="1" applyFill="1" applyBorder="1" applyAlignment="1" applyProtection="1">
      <alignment horizontal="center" vertical="center" wrapText="1"/>
    </xf>
    <xf numFmtId="9" fontId="3" fillId="2" borderId="0" xfId="52" applyFont="1" applyFill="1" applyBorder="1" applyAlignment="1" applyProtection="1">
      <alignment horizontal="center" vertical="center"/>
    </xf>
    <xf numFmtId="11" fontId="3" fillId="2" borderId="0" xfId="0" applyNumberFormat="1" applyFont="1" applyFill="1" applyBorder="1" applyAlignment="1" applyProtection="1">
      <alignment horizontal="center" vertical="center" wrapText="1"/>
    </xf>
    <xf numFmtId="0" fontId="3" fillId="2" borderId="0" xfId="0" quotePrefix="1" applyFont="1" applyFill="1" applyAlignment="1" applyProtection="1">
      <alignment vertical="center"/>
    </xf>
    <xf numFmtId="0" fontId="3" fillId="2" borderId="0" xfId="0" applyFont="1" applyFill="1" applyBorder="1" applyAlignment="1" applyProtection="1">
      <alignment horizontal="center" vertical="center"/>
    </xf>
    <xf numFmtId="0" fontId="3" fillId="2" borderId="0" xfId="0" applyFont="1" applyFill="1" applyBorder="1" applyAlignment="1" applyProtection="1">
      <alignment vertical="center"/>
    </xf>
    <xf numFmtId="9" fontId="3" fillId="2" borderId="0" xfId="52" applyFont="1" applyFill="1" applyBorder="1" applyProtection="1">
      <alignment horizontal="center" vertical="center"/>
    </xf>
    <xf numFmtId="168" fontId="3" fillId="2" borderId="0" xfId="0" applyNumberFormat="1" applyFont="1" applyFill="1" applyBorder="1" applyAlignment="1" applyProtection="1">
      <alignment horizontal="center" vertical="center"/>
    </xf>
    <xf numFmtId="9" fontId="3" fillId="0" borderId="0" xfId="0" applyNumberFormat="1" applyFont="1" applyAlignment="1" applyProtection="1">
      <alignment vertical="center"/>
    </xf>
    <xf numFmtId="0" fontId="3" fillId="3" borderId="0" xfId="0" applyFont="1" applyFill="1" applyAlignment="1" applyProtection="1">
      <alignment vertical="center"/>
    </xf>
    <xf numFmtId="168" fontId="3" fillId="0" borderId="0" xfId="53" applyFont="1" applyAlignment="1" applyProtection="1">
      <alignment vertical="center"/>
      <protection locked="0"/>
    </xf>
    <xf numFmtId="172" fontId="3" fillId="0" borderId="0" xfId="0" applyNumberFormat="1" applyFont="1" applyAlignment="1" applyProtection="1">
      <alignment vertical="center"/>
    </xf>
    <xf numFmtId="9" fontId="3" fillId="0" borderId="0" xfId="52" applyFont="1" applyAlignment="1" applyProtection="1">
      <alignment horizontal="center" vertical="center"/>
      <protection locked="0"/>
    </xf>
    <xf numFmtId="0" fontId="3" fillId="4" borderId="0" xfId="0" applyFont="1" applyFill="1" applyAlignment="1" applyProtection="1">
      <alignment vertical="center"/>
    </xf>
    <xf numFmtId="172" fontId="3" fillId="0" borderId="0" xfId="11" applyNumberFormat="1" applyFont="1" applyAlignment="1" applyProtection="1">
      <alignment vertical="center"/>
    </xf>
    <xf numFmtId="168" fontId="3" fillId="2" borderId="0" xfId="53" applyFont="1" applyFill="1" applyAlignment="1" applyProtection="1">
      <alignment vertical="center"/>
    </xf>
    <xf numFmtId="195" fontId="3" fillId="0" borderId="0" xfId="53" applyNumberFormat="1" applyFont="1" applyAlignment="1" applyProtection="1">
      <alignment vertical="center"/>
      <protection locked="0"/>
    </xf>
    <xf numFmtId="0" fontId="3" fillId="19" borderId="0" xfId="0" applyFont="1" applyFill="1" applyAlignment="1" applyProtection="1">
      <alignment vertical="center"/>
    </xf>
    <xf numFmtId="168" fontId="3" fillId="2" borderId="0" xfId="53" applyFont="1" applyFill="1" applyAlignment="1" applyProtection="1">
      <alignment vertical="center"/>
      <protection locked="0"/>
    </xf>
    <xf numFmtId="9" fontId="3" fillId="2" borderId="0" xfId="52" applyFont="1" applyFill="1" applyBorder="1" applyAlignment="1" applyProtection="1">
      <alignment horizontal="right" vertical="center"/>
    </xf>
    <xf numFmtId="0" fontId="3" fillId="17" borderId="0" xfId="0" applyFont="1" applyFill="1" applyAlignment="1" applyProtection="1">
      <alignment vertical="center"/>
    </xf>
    <xf numFmtId="168" fontId="3" fillId="0" borderId="0" xfId="53" applyFont="1" applyProtection="1">
      <alignment vertical="center"/>
      <protection locked="0"/>
    </xf>
    <xf numFmtId="187" fontId="31" fillId="2" borderId="0" xfId="54" applyFont="1" applyFill="1" applyAlignment="1" applyProtection="1">
      <alignment vertical="center"/>
    </xf>
    <xf numFmtId="168" fontId="4" fillId="2" borderId="0" xfId="53" applyFont="1" applyFill="1" applyProtection="1">
      <alignment vertical="center"/>
    </xf>
    <xf numFmtId="168" fontId="3" fillId="0" borderId="0" xfId="0" applyNumberFormat="1" applyFont="1" applyAlignment="1" applyProtection="1">
      <alignment vertical="center"/>
      <protection locked="0"/>
    </xf>
    <xf numFmtId="0" fontId="3" fillId="13" borderId="0" xfId="0" applyFont="1" applyFill="1" applyAlignment="1" applyProtection="1">
      <alignment vertical="center"/>
    </xf>
    <xf numFmtId="0" fontId="4" fillId="13" borderId="0" xfId="0" applyFont="1" applyFill="1" applyAlignment="1" applyProtection="1">
      <alignment vertical="center"/>
    </xf>
    <xf numFmtId="0" fontId="3" fillId="0" borderId="0" xfId="0" applyFont="1" applyFill="1" applyProtection="1"/>
    <xf numFmtId="9" fontId="4" fillId="27" borderId="0" xfId="52" applyFont="1" applyFill="1" applyAlignment="1" applyProtection="1"/>
    <xf numFmtId="172" fontId="3" fillId="26" borderId="0" xfId="11" applyNumberFormat="1" applyFont="1" applyFill="1" applyBorder="1" applyAlignment="1" applyProtection="1">
      <alignment vertical="center"/>
    </xf>
    <xf numFmtId="168" fontId="3" fillId="27" borderId="0" xfId="53" applyFont="1" applyFill="1" applyAlignment="1" applyProtection="1">
      <alignment vertical="center"/>
    </xf>
    <xf numFmtId="172" fontId="3" fillId="28" borderId="14" xfId="0" applyNumberFormat="1" applyFont="1" applyFill="1" applyBorder="1" applyAlignment="1" applyProtection="1"/>
    <xf numFmtId="173" fontId="3" fillId="28" borderId="13" xfId="0" applyNumberFormat="1" applyFont="1" applyFill="1" applyBorder="1" applyAlignment="1" applyProtection="1"/>
    <xf numFmtId="174" fontId="3" fillId="28" borderId="13" xfId="0" applyNumberFormat="1" applyFont="1" applyFill="1" applyBorder="1" applyAlignment="1" applyProtection="1"/>
    <xf numFmtId="0" fontId="3" fillId="28" borderId="12" xfId="0" applyFont="1" applyFill="1" applyBorder="1" applyProtection="1"/>
    <xf numFmtId="165" fontId="3" fillId="26" borderId="0" xfId="52" applyNumberFormat="1" applyFont="1" applyFill="1" applyAlignment="1" applyProtection="1"/>
    <xf numFmtId="0" fontId="3" fillId="27" borderId="0" xfId="0" applyFont="1" applyFill="1" applyAlignment="1" applyProtection="1">
      <alignment vertical="center"/>
    </xf>
    <xf numFmtId="172" fontId="3" fillId="28" borderId="11" xfId="0" applyNumberFormat="1" applyFont="1" applyFill="1" applyBorder="1" applyAlignment="1" applyProtection="1"/>
    <xf numFmtId="173" fontId="3" fillId="28" borderId="0" xfId="0" applyNumberFormat="1" applyFont="1" applyFill="1" applyBorder="1" applyAlignment="1" applyProtection="1"/>
    <xf numFmtId="174" fontId="3" fillId="28" borderId="0" xfId="0" applyNumberFormat="1" applyFont="1" applyFill="1" applyBorder="1" applyAlignment="1" applyProtection="1"/>
    <xf numFmtId="0" fontId="3" fillId="28" borderId="10" xfId="0" applyFont="1" applyFill="1" applyBorder="1" applyProtection="1"/>
    <xf numFmtId="0" fontId="3" fillId="28" borderId="11" xfId="0" applyFont="1" applyFill="1" applyBorder="1" applyAlignment="1" applyProtection="1">
      <alignment horizontal="center" vertical="center"/>
    </xf>
    <xf numFmtId="0" fontId="3" fillId="28" borderId="0" xfId="0" applyFont="1" applyFill="1" applyBorder="1" applyAlignment="1" applyProtection="1">
      <alignment horizontal="center" vertical="center"/>
    </xf>
    <xf numFmtId="0" fontId="3" fillId="27" borderId="0" xfId="0" applyFont="1" applyFill="1" applyAlignment="1" applyProtection="1">
      <alignment horizontal="center" vertical="center"/>
    </xf>
    <xf numFmtId="0" fontId="3" fillId="28" borderId="7" xfId="0" applyFont="1" applyFill="1" applyBorder="1" applyProtection="1"/>
    <xf numFmtId="9" fontId="4" fillId="27" borderId="0" xfId="52" applyFont="1" applyFill="1" applyAlignment="1" applyProtection="1">
      <alignment horizontal="center"/>
    </xf>
    <xf numFmtId="14" fontId="3" fillId="0" borderId="0" xfId="0" applyNumberFormat="1" applyFont="1" applyFill="1" applyBorder="1" applyAlignment="1" applyProtection="1">
      <alignment horizontal="right" vertical="center"/>
    </xf>
    <xf numFmtId="9" fontId="3" fillId="18" borderId="0" xfId="52" applyFont="1" applyFill="1" applyProtection="1">
      <alignment horizontal="center" vertical="center"/>
    </xf>
    <xf numFmtId="174" fontId="3" fillId="18" borderId="0" xfId="0" applyNumberFormat="1" applyFont="1" applyFill="1" applyProtection="1"/>
    <xf numFmtId="0" fontId="3" fillId="18" borderId="0" xfId="0" applyFont="1" applyFill="1" applyProtection="1"/>
    <xf numFmtId="9" fontId="4" fillId="3" borderId="0" xfId="52" applyFont="1" applyFill="1" applyProtection="1">
      <alignment horizontal="center" vertical="center"/>
    </xf>
    <xf numFmtId="9" fontId="3" fillId="3" borderId="0" xfId="52" applyFont="1" applyFill="1" applyProtection="1">
      <alignment horizontal="center" vertical="center"/>
    </xf>
    <xf numFmtId="172" fontId="3" fillId="3" borderId="0" xfId="11" applyNumberFormat="1" applyFont="1" applyFill="1" applyBorder="1" applyAlignment="1" applyProtection="1">
      <alignment vertical="center"/>
    </xf>
    <xf numFmtId="190" fontId="3" fillId="3" borderId="0" xfId="57" applyFill="1" applyProtection="1">
      <alignment vertical="center"/>
    </xf>
    <xf numFmtId="174" fontId="3" fillId="0" borderId="0" xfId="0" applyNumberFormat="1" applyFont="1" applyFill="1" applyProtection="1"/>
    <xf numFmtId="187" fontId="3" fillId="3" borderId="0" xfId="54" applyFill="1" applyProtection="1">
      <alignment vertical="center"/>
    </xf>
    <xf numFmtId="172" fontId="3" fillId="5" borderId="14" xfId="0" applyNumberFormat="1" applyFont="1" applyFill="1" applyBorder="1" applyAlignment="1" applyProtection="1"/>
    <xf numFmtId="173" fontId="3" fillId="5" borderId="13" xfId="0" applyNumberFormat="1" applyFont="1" applyFill="1" applyBorder="1" applyAlignment="1" applyProtection="1"/>
    <xf numFmtId="174" fontId="3" fillId="5" borderId="13" xfId="0" applyNumberFormat="1" applyFont="1" applyFill="1" applyBorder="1" applyAlignment="1" applyProtection="1"/>
    <xf numFmtId="0" fontId="3" fillId="5" borderId="12" xfId="0" applyFont="1" applyFill="1" applyBorder="1" applyProtection="1"/>
    <xf numFmtId="168" fontId="3" fillId="3" borderId="0" xfId="53" applyFont="1" applyFill="1" applyAlignment="1" applyProtection="1">
      <alignment vertical="center"/>
    </xf>
    <xf numFmtId="172" fontId="3" fillId="5" borderId="11" xfId="0" applyNumberFormat="1" applyFont="1" applyFill="1" applyBorder="1" applyAlignment="1" applyProtection="1"/>
    <xf numFmtId="164" fontId="3" fillId="5" borderId="0" xfId="0" applyNumberFormat="1" applyFont="1" applyFill="1" applyBorder="1" applyAlignment="1" applyProtection="1"/>
    <xf numFmtId="174" fontId="3" fillId="5" borderId="0" xfId="0" applyNumberFormat="1" applyFont="1" applyFill="1" applyBorder="1" applyAlignment="1" applyProtection="1"/>
    <xf numFmtId="0" fontId="3" fillId="5" borderId="10" xfId="0" applyFont="1" applyFill="1" applyBorder="1" applyProtection="1"/>
    <xf numFmtId="173" fontId="3" fillId="5" borderId="0" xfId="0" applyNumberFormat="1" applyFont="1" applyFill="1" applyBorder="1" applyAlignment="1" applyProtection="1"/>
    <xf numFmtId="0" fontId="3" fillId="5" borderId="11" xfId="0" applyFont="1" applyFill="1" applyBorder="1" applyAlignment="1" applyProtection="1">
      <alignment horizontal="center" vertical="center"/>
    </xf>
    <xf numFmtId="0" fontId="3" fillId="5" borderId="0" xfId="0" applyFont="1" applyFill="1" applyBorder="1" applyAlignment="1" applyProtection="1">
      <alignment horizontal="center" vertical="center"/>
    </xf>
    <xf numFmtId="0" fontId="3" fillId="3" borderId="0" xfId="0" applyFont="1" applyFill="1" applyAlignment="1" applyProtection="1">
      <alignment horizontal="center" vertical="center"/>
    </xf>
    <xf numFmtId="0" fontId="3" fillId="5" borderId="7" xfId="0" applyFont="1" applyFill="1" applyBorder="1" applyProtection="1"/>
    <xf numFmtId="9" fontId="4" fillId="3" borderId="0" xfId="52" applyFont="1" applyFill="1" applyAlignment="1" applyProtection="1">
      <alignment horizontal="center"/>
    </xf>
    <xf numFmtId="9" fontId="4" fillId="0" borderId="0" xfId="52" applyFont="1" applyFill="1" applyProtection="1">
      <alignment horizontal="center" vertical="center"/>
    </xf>
    <xf numFmtId="9" fontId="4" fillId="0" borderId="0" xfId="52" applyFont="1" applyFill="1" applyAlignment="1" applyProtection="1">
      <alignment horizontal="center"/>
    </xf>
    <xf numFmtId="9" fontId="4" fillId="4" borderId="0" xfId="52" applyFont="1" applyFill="1" applyProtection="1">
      <alignment horizontal="center" vertical="center"/>
    </xf>
    <xf numFmtId="0" fontId="3" fillId="4" borderId="0" xfId="0" applyFont="1" applyFill="1" applyProtection="1"/>
    <xf numFmtId="172" fontId="3" fillId="2" borderId="0" xfId="11" applyNumberFormat="1" applyFont="1" applyFill="1" applyBorder="1" applyAlignment="1" applyProtection="1">
      <alignment vertical="center"/>
    </xf>
    <xf numFmtId="9" fontId="3" fillId="4" borderId="0" xfId="52" applyFont="1" applyFill="1" applyProtection="1">
      <alignment horizontal="center" vertical="center"/>
    </xf>
    <xf numFmtId="0" fontId="3" fillId="2" borderId="0" xfId="0" applyFont="1" applyFill="1" applyAlignment="1" applyProtection="1">
      <alignment horizontal="center" vertical="center"/>
    </xf>
    <xf numFmtId="0" fontId="3" fillId="4" borderId="0" xfId="0" applyFont="1" applyFill="1" applyAlignment="1" applyProtection="1">
      <alignment horizontal="center"/>
    </xf>
    <xf numFmtId="0" fontId="3" fillId="2" borderId="0" xfId="0" applyFont="1" applyFill="1" applyAlignment="1" applyProtection="1">
      <alignment horizontal="center" vertical="center" wrapText="1"/>
    </xf>
    <xf numFmtId="0" fontId="3" fillId="4" borderId="0" xfId="0" applyFont="1" applyFill="1" applyAlignment="1" applyProtection="1">
      <alignment horizontal="center" wrapText="1"/>
    </xf>
    <xf numFmtId="0" fontId="3" fillId="0" borderId="0" xfId="0" applyFont="1" applyAlignment="1" applyProtection="1">
      <alignment horizontal="center"/>
    </xf>
    <xf numFmtId="0" fontId="0" fillId="31" borderId="0" xfId="0" applyFill="1"/>
    <xf numFmtId="1" fontId="0" fillId="31" borderId="0" xfId="0" applyNumberFormat="1" applyFill="1"/>
    <xf numFmtId="11" fontId="0" fillId="31" borderId="0" xfId="0" applyNumberFormat="1" applyFill="1"/>
    <xf numFmtId="198" fontId="0" fillId="8" borderId="0" xfId="11" applyNumberFormat="1" applyFont="1" applyFill="1"/>
    <xf numFmtId="198" fontId="0" fillId="31" borderId="0" xfId="11" applyNumberFormat="1" applyFont="1" applyFill="1"/>
    <xf numFmtId="198" fontId="0" fillId="0" borderId="0" xfId="11" applyNumberFormat="1" applyFont="1"/>
    <xf numFmtId="0" fontId="0" fillId="31" borderId="0" xfId="0" applyFill="1" applyAlignment="1">
      <alignment wrapText="1"/>
    </xf>
    <xf numFmtId="175" fontId="6" fillId="4" borderId="0" xfId="0" applyNumberFormat="1" applyFont="1" applyFill="1" applyAlignment="1">
      <alignment horizontal="center" vertical="center"/>
    </xf>
    <xf numFmtId="0" fontId="3" fillId="14" borderId="0" xfId="0" applyFont="1" applyFill="1" applyAlignment="1" applyProtection="1">
      <alignment vertical="center"/>
    </xf>
    <xf numFmtId="0" fontId="0" fillId="12" borderId="0" xfId="0" applyFill="1"/>
    <xf numFmtId="0" fontId="3" fillId="2" borderId="0" xfId="0" applyFont="1" applyFill="1" applyAlignment="1">
      <alignment vertical="center"/>
    </xf>
    <xf numFmtId="0" fontId="3" fillId="5" borderId="0" xfId="0" applyFont="1" applyFill="1" applyAlignment="1">
      <alignment vertical="center" wrapText="1"/>
    </xf>
    <xf numFmtId="0" fontId="0" fillId="0" borderId="0" xfId="0" applyFill="1" applyAlignment="1">
      <alignment vertical="center" wrapText="1"/>
    </xf>
    <xf numFmtId="0" fontId="3" fillId="0" borderId="0" xfId="56" applyFont="1" applyFill="1" applyAlignment="1">
      <alignment vertical="center" wrapText="1"/>
    </xf>
    <xf numFmtId="0" fontId="3" fillId="0" borderId="0" xfId="0" applyFont="1" applyFill="1" applyAlignment="1">
      <alignment vertical="center" wrapText="1"/>
    </xf>
    <xf numFmtId="0" fontId="7" fillId="0" borderId="15" xfId="0" applyFont="1" applyFill="1" applyBorder="1" applyAlignment="1">
      <alignment horizontal="left"/>
    </xf>
    <xf numFmtId="0" fontId="3" fillId="0" borderId="0" xfId="0" applyFont="1" applyFill="1" applyAlignment="1">
      <alignment vertical="center"/>
    </xf>
    <xf numFmtId="0" fontId="3" fillId="0" borderId="0" xfId="0" applyFont="1" applyFill="1" applyBorder="1" applyAlignment="1">
      <alignment horizontal="left" vertical="center"/>
    </xf>
    <xf numFmtId="164" fontId="0" fillId="31" borderId="0" xfId="0" applyNumberFormat="1" applyFill="1"/>
    <xf numFmtId="0" fontId="12" fillId="22" borderId="0" xfId="17" applyFill="1" applyAlignment="1" applyProtection="1">
      <alignment vertical="center"/>
    </xf>
    <xf numFmtId="9" fontId="0" fillId="8" borderId="0" xfId="33" applyFont="1" applyFill="1"/>
    <xf numFmtId="0" fontId="3" fillId="32" borderId="0" xfId="0" applyFont="1" applyFill="1"/>
    <xf numFmtId="0" fontId="52" fillId="8" borderId="0" xfId="0" applyFont="1" applyFill="1"/>
    <xf numFmtId="0" fontId="0" fillId="32" borderId="0" xfId="0" applyFill="1"/>
    <xf numFmtId="0" fontId="0" fillId="0" borderId="0" xfId="0" applyProtection="1">
      <protection locked="0"/>
    </xf>
    <xf numFmtId="0" fontId="3" fillId="0" borderId="0" xfId="0" applyFont="1" applyBorder="1" applyAlignment="1">
      <alignment vertical="center" wrapText="1"/>
    </xf>
    <xf numFmtId="0" fontId="3" fillId="18" borderId="0" xfId="0" applyFont="1" applyFill="1" applyAlignment="1">
      <alignment vertical="center" wrapText="1"/>
    </xf>
    <xf numFmtId="0" fontId="3" fillId="18" borderId="0" xfId="38" applyFont="1" applyFill="1" applyAlignment="1">
      <alignment vertical="center" wrapText="1"/>
    </xf>
    <xf numFmtId="0" fontId="0" fillId="35" borderId="0" xfId="0" applyFill="1" applyAlignment="1">
      <alignment vertical="center"/>
    </xf>
    <xf numFmtId="0" fontId="3" fillId="0" borderId="0" xfId="38" applyFont="1" applyFill="1" applyAlignment="1">
      <alignment horizontal="left"/>
    </xf>
    <xf numFmtId="0" fontId="3" fillId="0" borderId="0" xfId="38" applyFont="1" applyFill="1" applyAlignment="1">
      <alignment vertical="center" wrapText="1"/>
    </xf>
    <xf numFmtId="0" fontId="3" fillId="0" borderId="0" xfId="0" applyFont="1" applyFill="1"/>
    <xf numFmtId="0" fontId="0" fillId="25" borderId="0" xfId="0" applyFill="1" applyBorder="1" applyAlignment="1">
      <alignment horizontal="left" vertical="center"/>
    </xf>
    <xf numFmtId="199" fontId="5" fillId="0" borderId="0" xfId="0" applyNumberFormat="1" applyFont="1" applyAlignment="1">
      <alignment vertical="center"/>
    </xf>
    <xf numFmtId="0" fontId="3" fillId="35" borderId="0" xfId="0" applyFont="1" applyFill="1"/>
    <xf numFmtId="0" fontId="3" fillId="0" borderId="0" xfId="0" applyFont="1" applyAlignment="1">
      <alignment wrapText="1"/>
    </xf>
    <xf numFmtId="189" fontId="5" fillId="23" borderId="0" xfId="0" applyNumberFormat="1" applyFont="1" applyFill="1" applyAlignment="1">
      <alignment vertical="center"/>
    </xf>
    <xf numFmtId="189" fontId="5" fillId="36" borderId="0" xfId="0" applyNumberFormat="1" applyFont="1" applyFill="1" applyAlignment="1">
      <alignment vertical="center"/>
    </xf>
    <xf numFmtId="199" fontId="5" fillId="36" borderId="0" xfId="0" applyNumberFormat="1" applyFont="1" applyFill="1" applyAlignment="1">
      <alignment vertical="center"/>
    </xf>
    <xf numFmtId="0" fontId="3" fillId="0" borderId="0" xfId="0" applyFont="1" applyAlignment="1">
      <alignment horizontal="center"/>
    </xf>
    <xf numFmtId="0" fontId="6" fillId="0" borderId="0" xfId="70">
      <alignment vertical="center"/>
    </xf>
    <xf numFmtId="0" fontId="6" fillId="0" borderId="0" xfId="70" applyAlignment="1">
      <alignment horizontal="center" vertical="center"/>
    </xf>
    <xf numFmtId="0" fontId="6" fillId="0" borderId="8" xfId="70" applyBorder="1">
      <alignment vertical="center"/>
    </xf>
    <xf numFmtId="0" fontId="6" fillId="0" borderId="8" xfId="70" applyBorder="1" applyAlignment="1">
      <alignment horizontal="center" vertical="center"/>
    </xf>
    <xf numFmtId="0" fontId="6" fillId="0" borderId="7" xfId="70" applyBorder="1" applyAlignment="1">
      <alignment horizontal="center" vertical="center"/>
    </xf>
    <xf numFmtId="0" fontId="6" fillId="0" borderId="9" xfId="70" applyBorder="1" applyAlignment="1">
      <alignment horizontal="center" vertical="center"/>
    </xf>
    <xf numFmtId="0" fontId="6" fillId="0" borderId="16" xfId="70" applyBorder="1" applyAlignment="1">
      <alignment horizontal="center" vertical="center"/>
    </xf>
    <xf numFmtId="0" fontId="6" fillId="0" borderId="13" xfId="70" applyBorder="1">
      <alignment vertical="center"/>
    </xf>
    <xf numFmtId="0" fontId="6" fillId="0" borderId="13" xfId="70" applyBorder="1" applyAlignment="1">
      <alignment horizontal="center" vertical="center"/>
    </xf>
    <xf numFmtId="0" fontId="6" fillId="0" borderId="12" xfId="70" applyBorder="1" applyAlignment="1">
      <alignment horizontal="center" vertical="center"/>
    </xf>
    <xf numFmtId="0" fontId="6" fillId="0" borderId="14" xfId="70" applyBorder="1" applyAlignment="1">
      <alignment horizontal="center" vertical="center"/>
    </xf>
    <xf numFmtId="0" fontId="6" fillId="0" borderId="3" xfId="70" applyBorder="1" applyAlignment="1">
      <alignment horizontal="center" vertical="center"/>
    </xf>
    <xf numFmtId="171" fontId="0" fillId="0" borderId="0" xfId="71" applyNumberFormat="1" applyFont="1" applyAlignment="1">
      <alignment vertical="center"/>
    </xf>
    <xf numFmtId="171" fontId="0" fillId="0" borderId="10" xfId="71" applyNumberFormat="1" applyFont="1" applyBorder="1" applyAlignment="1">
      <alignment vertical="center"/>
    </xf>
    <xf numFmtId="171" fontId="0" fillId="0" borderId="0" xfId="71" applyNumberFormat="1" applyFont="1" applyBorder="1" applyAlignment="1">
      <alignment vertical="center"/>
    </xf>
    <xf numFmtId="171" fontId="0" fillId="0" borderId="11" xfId="71" applyNumberFormat="1" applyFont="1" applyBorder="1" applyAlignment="1">
      <alignment vertical="center"/>
    </xf>
    <xf numFmtId="164" fontId="0" fillId="0" borderId="4" xfId="71" applyFont="1" applyBorder="1" applyAlignment="1">
      <alignment vertical="center"/>
    </xf>
    <xf numFmtId="164" fontId="0" fillId="0" borderId="10" xfId="71" applyFont="1" applyBorder="1" applyAlignment="1">
      <alignment vertical="center"/>
    </xf>
    <xf numFmtId="164" fontId="0" fillId="0" borderId="0" xfId="71" applyFont="1" applyBorder="1" applyAlignment="1">
      <alignment vertical="center"/>
    </xf>
    <xf numFmtId="164" fontId="0" fillId="0" borderId="11" xfId="71" applyFont="1" applyBorder="1" applyAlignment="1">
      <alignment vertical="center"/>
    </xf>
    <xf numFmtId="9" fontId="0" fillId="0" borderId="0" xfId="72" applyFont="1" applyAlignment="1">
      <alignment vertical="center"/>
    </xf>
    <xf numFmtId="0" fontId="6" fillId="0" borderId="0" xfId="70" applyBorder="1">
      <alignment vertical="center"/>
    </xf>
    <xf numFmtId="171" fontId="0" fillId="0" borderId="12" xfId="71" applyNumberFormat="1" applyFont="1" applyBorder="1" applyAlignment="1">
      <alignment vertical="center"/>
    </xf>
    <xf numFmtId="0" fontId="6" fillId="0" borderId="5" xfId="70" applyBorder="1">
      <alignment vertical="center"/>
    </xf>
    <xf numFmtId="164" fontId="0" fillId="0" borderId="17" xfId="71" applyNumberFormat="1" applyFont="1" applyBorder="1" applyAlignment="1">
      <alignment vertical="center"/>
    </xf>
    <xf numFmtId="164" fontId="0" fillId="0" borderId="5" xfId="71" applyNumberFormat="1" applyFont="1" applyBorder="1" applyAlignment="1">
      <alignment vertical="center"/>
    </xf>
    <xf numFmtId="164" fontId="0" fillId="0" borderId="18" xfId="71" applyNumberFormat="1" applyFont="1" applyBorder="1" applyAlignment="1">
      <alignment vertical="center"/>
    </xf>
    <xf numFmtId="164" fontId="0" fillId="0" borderId="1" xfId="71" applyFont="1" applyBorder="1" applyAlignment="1">
      <alignment vertical="center"/>
    </xf>
    <xf numFmtId="164" fontId="0" fillId="0" borderId="17" xfId="71" applyFont="1" applyBorder="1" applyAlignment="1">
      <alignment vertical="center"/>
    </xf>
    <xf numFmtId="164" fontId="0" fillId="0" borderId="5" xfId="71" applyFont="1" applyBorder="1" applyAlignment="1">
      <alignment vertical="center"/>
    </xf>
    <xf numFmtId="164" fontId="0" fillId="0" borderId="18" xfId="71" applyFont="1" applyBorder="1" applyAlignment="1">
      <alignment vertical="center"/>
    </xf>
    <xf numFmtId="9" fontId="0" fillId="0" borderId="17" xfId="71" applyNumberFormat="1" applyFont="1" applyBorder="1" applyAlignment="1">
      <alignment vertical="center"/>
    </xf>
    <xf numFmtId="165" fontId="37" fillId="0" borderId="5" xfId="72" applyNumberFormat="1" applyFont="1" applyBorder="1" applyAlignment="1">
      <alignment vertical="center"/>
    </xf>
    <xf numFmtId="165" fontId="37" fillId="0" borderId="18" xfId="72" applyNumberFormat="1" applyFont="1" applyBorder="1" applyAlignment="1">
      <alignment vertical="center"/>
    </xf>
    <xf numFmtId="0" fontId="6" fillId="0" borderId="0" xfId="70" applyFill="1" applyBorder="1">
      <alignment vertical="center"/>
    </xf>
    <xf numFmtId="164" fontId="0" fillId="0" borderId="0" xfId="71" applyFont="1" applyFill="1" applyBorder="1" applyAlignment="1">
      <alignment vertical="center"/>
    </xf>
    <xf numFmtId="9" fontId="0" fillId="0" borderId="5" xfId="72" applyFont="1" applyBorder="1" applyAlignment="1">
      <alignment horizontal="center" vertical="center"/>
    </xf>
    <xf numFmtId="0" fontId="6" fillId="0" borderId="5" xfId="70" applyBorder="1" applyAlignment="1">
      <alignment horizontal="center" vertical="center"/>
    </xf>
    <xf numFmtId="164" fontId="6" fillId="0" borderId="0" xfId="70" applyNumberFormat="1">
      <alignment vertical="center"/>
    </xf>
    <xf numFmtId="0" fontId="3" fillId="8" borderId="0" xfId="0" applyFont="1" applyFill="1"/>
    <xf numFmtId="165" fontId="0" fillId="0" borderId="0" xfId="33" applyNumberFormat="1" applyFont="1"/>
    <xf numFmtId="164" fontId="0" fillId="0" borderId="0" xfId="0" applyNumberFormat="1"/>
    <xf numFmtId="164" fontId="5" fillId="29" borderId="0" xfId="11" applyFont="1" applyFill="1" applyAlignment="1" applyProtection="1">
      <alignment vertical="center"/>
      <protection locked="0"/>
    </xf>
    <xf numFmtId="0" fontId="3" fillId="36" borderId="0" xfId="0" applyFont="1" applyFill="1"/>
    <xf numFmtId="0" fontId="3" fillId="36" borderId="0" xfId="0" applyFont="1" applyFill="1" applyAlignment="1">
      <alignment horizontal="center"/>
    </xf>
    <xf numFmtId="0" fontId="3" fillId="29" borderId="0" xfId="0" applyFont="1" applyFill="1"/>
    <xf numFmtId="0" fontId="3" fillId="29" borderId="0" xfId="0" applyFont="1" applyFill="1" applyAlignment="1">
      <alignment horizontal="center"/>
    </xf>
    <xf numFmtId="199" fontId="5" fillId="29" borderId="0" xfId="0" applyNumberFormat="1" applyFont="1" applyFill="1" applyAlignment="1">
      <alignment vertical="center"/>
    </xf>
    <xf numFmtId="0" fontId="0" fillId="37" borderId="0" xfId="0" applyFill="1"/>
    <xf numFmtId="0" fontId="3" fillId="37" borderId="0" xfId="0" applyFont="1" applyFill="1" applyAlignment="1">
      <alignment horizontal="center"/>
    </xf>
    <xf numFmtId="199" fontId="5" fillId="37" borderId="0" xfId="0" applyNumberFormat="1" applyFont="1" applyFill="1" applyAlignment="1">
      <alignment vertical="center"/>
    </xf>
    <xf numFmtId="202" fontId="5" fillId="29" borderId="0" xfId="0" applyNumberFormat="1" applyFont="1" applyFill="1" applyAlignment="1">
      <alignment vertical="center"/>
    </xf>
    <xf numFmtId="199" fontId="5" fillId="0" borderId="0" xfId="0" applyNumberFormat="1" applyFont="1" applyFill="1" applyAlignment="1">
      <alignment vertical="center"/>
    </xf>
    <xf numFmtId="196" fontId="0" fillId="0" borderId="0" xfId="0" applyNumberFormat="1"/>
    <xf numFmtId="174" fontId="0" fillId="0" borderId="0" xfId="0" applyNumberFormat="1"/>
    <xf numFmtId="14" fontId="0" fillId="0" borderId="0" xfId="0" applyNumberFormat="1"/>
    <xf numFmtId="174" fontId="5" fillId="29" borderId="0" xfId="11" applyNumberFormat="1" applyFont="1" applyFill="1" applyAlignment="1" applyProtection="1">
      <alignment vertical="center"/>
      <protection locked="0"/>
    </xf>
    <xf numFmtId="0" fontId="3" fillId="38" borderId="0" xfId="0" applyFont="1" applyFill="1"/>
    <xf numFmtId="0" fontId="3" fillId="38" borderId="0" xfId="0" applyFont="1" applyFill="1" applyAlignment="1">
      <alignment horizontal="center"/>
    </xf>
    <xf numFmtId="203" fontId="5" fillId="38" borderId="0" xfId="0" applyNumberFormat="1" applyFont="1" applyFill="1" applyAlignment="1">
      <alignment vertical="center"/>
    </xf>
    <xf numFmtId="196" fontId="0" fillId="38" borderId="0" xfId="0" applyNumberFormat="1" applyFill="1"/>
    <xf numFmtId="0" fontId="3" fillId="20" borderId="0" xfId="0" applyFont="1" applyFill="1"/>
    <xf numFmtId="0" fontId="3" fillId="20" borderId="0" xfId="0" applyFont="1" applyFill="1" applyAlignment="1">
      <alignment horizontal="center"/>
    </xf>
    <xf numFmtId="203" fontId="5" fillId="20" borderId="0" xfId="0" applyNumberFormat="1" applyFont="1" applyFill="1" applyAlignment="1">
      <alignment vertical="center"/>
    </xf>
    <xf numFmtId="203" fontId="5" fillId="39" borderId="0" xfId="0" applyNumberFormat="1" applyFont="1" applyFill="1" applyAlignment="1">
      <alignment vertical="center"/>
    </xf>
    <xf numFmtId="189" fontId="3" fillId="23" borderId="0" xfId="0" applyNumberFormat="1" applyFont="1" applyFill="1" applyAlignment="1">
      <alignment vertical="center"/>
    </xf>
    <xf numFmtId="199" fontId="3" fillId="37" borderId="0" xfId="0" applyNumberFormat="1" applyFont="1" applyFill="1" applyAlignment="1">
      <alignment vertical="center"/>
    </xf>
    <xf numFmtId="199" fontId="3" fillId="36" borderId="0" xfId="0" applyNumberFormat="1" applyFont="1" applyFill="1" applyAlignment="1">
      <alignment vertical="center"/>
    </xf>
    <xf numFmtId="199" fontId="3" fillId="29" borderId="0" xfId="0" applyNumberFormat="1" applyFont="1" applyFill="1" applyAlignment="1">
      <alignment vertical="center"/>
    </xf>
    <xf numFmtId="203" fontId="3" fillId="20" borderId="0" xfId="0" applyNumberFormat="1" applyFont="1" applyFill="1" applyAlignment="1">
      <alignment vertical="center"/>
    </xf>
    <xf numFmtId="203" fontId="3" fillId="38" borderId="0" xfId="0" applyNumberFormat="1" applyFont="1" applyFill="1" applyAlignment="1">
      <alignment vertical="center"/>
    </xf>
    <xf numFmtId="200" fontId="5" fillId="27" borderId="0" xfId="5" applyNumberFormat="1" applyFont="1" applyFill="1" applyProtection="1">
      <alignment vertical="center"/>
    </xf>
    <xf numFmtId="190" fontId="5" fillId="40" borderId="0" xfId="40" applyFill="1" applyProtection="1">
      <alignment vertical="center"/>
    </xf>
    <xf numFmtId="200" fontId="5" fillId="40" borderId="0" xfId="5" applyNumberFormat="1" applyFont="1" applyFill="1" applyProtection="1">
      <alignment vertical="center"/>
    </xf>
    <xf numFmtId="196" fontId="0" fillId="41" borderId="0" xfId="0" applyNumberFormat="1" applyFill="1"/>
    <xf numFmtId="0" fontId="3" fillId="41" borderId="0" xfId="0" applyFont="1" applyFill="1"/>
    <xf numFmtId="0" fontId="3" fillId="41" borderId="0" xfId="0" applyFont="1" applyFill="1" applyAlignment="1">
      <alignment horizontal="center"/>
    </xf>
    <xf numFmtId="204" fontId="0" fillId="41" borderId="0" xfId="0" applyNumberFormat="1" applyFont="1" applyFill="1" applyAlignment="1">
      <alignment vertical="center"/>
    </xf>
    <xf numFmtId="204" fontId="3" fillId="42" borderId="0" xfId="0" applyNumberFormat="1" applyFont="1" applyFill="1" applyAlignment="1">
      <alignment vertical="center"/>
    </xf>
    <xf numFmtId="204" fontId="0" fillId="25" borderId="0" xfId="0" applyNumberFormat="1" applyFont="1" applyFill="1" applyAlignment="1">
      <alignment vertical="center"/>
    </xf>
    <xf numFmtId="185" fontId="3" fillId="0" borderId="0" xfId="69">
      <alignment horizontal="center" vertical="center"/>
    </xf>
    <xf numFmtId="196" fontId="0" fillId="43" borderId="0" xfId="0" applyNumberFormat="1" applyFill="1"/>
    <xf numFmtId="0" fontId="12" fillId="43" borderId="0" xfId="17" applyFill="1" applyAlignment="1" applyProtection="1"/>
    <xf numFmtId="0" fontId="3" fillId="43" borderId="0" xfId="0" applyFont="1" applyFill="1" applyAlignment="1">
      <alignment horizontal="center"/>
    </xf>
    <xf numFmtId="204" fontId="0" fillId="43" borderId="0" xfId="0" applyNumberFormat="1" applyFont="1" applyFill="1" applyAlignment="1">
      <alignment vertical="center"/>
    </xf>
    <xf numFmtId="204" fontId="3" fillId="44" borderId="0" xfId="0" applyNumberFormat="1" applyFont="1" applyFill="1" applyAlignment="1">
      <alignment vertical="center"/>
    </xf>
    <xf numFmtId="204" fontId="0" fillId="0" borderId="0" xfId="0" applyNumberFormat="1" applyFont="1" applyFill="1" applyAlignment="1">
      <alignment vertical="center"/>
    </xf>
    <xf numFmtId="14" fontId="3" fillId="0" borderId="0" xfId="0" applyNumberFormat="1" applyFont="1"/>
    <xf numFmtId="2" fontId="0" fillId="0" borderId="0" xfId="0" applyNumberFormat="1"/>
    <xf numFmtId="0" fontId="4" fillId="41" borderId="0" xfId="0" applyFont="1" applyFill="1"/>
    <xf numFmtId="174" fontId="0" fillId="0" borderId="0" xfId="11" applyNumberFormat="1" applyFont="1"/>
    <xf numFmtId="14" fontId="0" fillId="8" borderId="0" xfId="0" applyNumberFormat="1" applyFill="1"/>
    <xf numFmtId="0" fontId="0" fillId="0" borderId="0" xfId="0" applyAlignment="1"/>
    <xf numFmtId="0" fontId="0" fillId="0" borderId="0" xfId="0" applyAlignment="1">
      <alignment horizontal="center" vertical="center"/>
    </xf>
    <xf numFmtId="0" fontId="0" fillId="0" borderId="0" xfId="0" applyAlignment="1">
      <alignment horizontal="center" vertical="center" wrapText="1"/>
    </xf>
    <xf numFmtId="17" fontId="0" fillId="0" borderId="0" xfId="0" applyNumberFormat="1" applyAlignment="1">
      <alignment horizontal="center" vertical="center"/>
    </xf>
    <xf numFmtId="174" fontId="5" fillId="0" borderId="0" xfId="11" applyNumberFormat="1" applyFont="1" applyFill="1" applyAlignment="1" applyProtection="1">
      <alignment vertical="center"/>
      <protection locked="0"/>
    </xf>
    <xf numFmtId="174" fontId="5" fillId="5" borderId="0" xfId="0" applyNumberFormat="1" applyFont="1" applyFill="1" applyBorder="1"/>
    <xf numFmtId="173" fontId="5" fillId="5" borderId="0" xfId="0" applyNumberFormat="1" applyFont="1" applyFill="1" applyBorder="1"/>
    <xf numFmtId="164" fontId="5" fillId="5" borderId="0" xfId="0" applyNumberFormat="1" applyFont="1" applyFill="1" applyBorder="1"/>
    <xf numFmtId="174" fontId="5" fillId="27" borderId="0" xfId="0" applyNumberFormat="1" applyFont="1" applyFill="1" applyBorder="1"/>
    <xf numFmtId="0" fontId="5" fillId="28" borderId="11" xfId="0" applyFont="1" applyFill="1" applyBorder="1" applyAlignment="1" applyProtection="1">
      <alignment horizontal="center" vertical="center"/>
    </xf>
    <xf numFmtId="174" fontId="5" fillId="28" borderId="0" xfId="0" applyNumberFormat="1" applyFont="1" applyFill="1" applyBorder="1"/>
    <xf numFmtId="172" fontId="5" fillId="28" borderId="11" xfId="0" applyNumberFormat="1" applyFont="1" applyFill="1" applyBorder="1"/>
    <xf numFmtId="172" fontId="5" fillId="27" borderId="11" xfId="0" applyNumberFormat="1" applyFont="1" applyFill="1" applyBorder="1"/>
    <xf numFmtId="172" fontId="5" fillId="27" borderId="14" xfId="0" applyNumberFormat="1" applyFont="1" applyFill="1" applyBorder="1"/>
    <xf numFmtId="0" fontId="60" fillId="6" borderId="0" xfId="77" applyFont="1" applyFill="1" applyAlignment="1">
      <alignment vertical="center"/>
    </xf>
    <xf numFmtId="0" fontId="61" fillId="6" borderId="0" xfId="77" applyFont="1" applyFill="1" applyAlignment="1">
      <alignment horizontal="center" vertical="center" wrapText="1"/>
    </xf>
    <xf numFmtId="0" fontId="60" fillId="6" borderId="0" xfId="77" applyFont="1" applyFill="1" applyAlignment="1"/>
    <xf numFmtId="0" fontId="61" fillId="6" borderId="0" xfId="77" applyFont="1" applyFill="1" applyAlignment="1">
      <alignment vertical="center"/>
    </xf>
    <xf numFmtId="0" fontId="61" fillId="6" borderId="0" xfId="77" applyFont="1" applyFill="1" applyAlignment="1">
      <alignment wrapText="1"/>
    </xf>
    <xf numFmtId="0" fontId="61" fillId="6" borderId="0" xfId="77" applyFont="1" applyFill="1" applyAlignment="1"/>
    <xf numFmtId="14" fontId="60" fillId="6" borderId="0" xfId="77" applyNumberFormat="1" applyFont="1" applyFill="1" applyAlignment="1">
      <alignment horizontal="left" vertical="center"/>
    </xf>
    <xf numFmtId="0" fontId="61" fillId="6" borderId="0" xfId="77" applyFont="1" applyFill="1" applyAlignment="1">
      <alignment vertical="center" wrapText="1"/>
    </xf>
    <xf numFmtId="0" fontId="60" fillId="6" borderId="0" xfId="77" quotePrefix="1" applyFont="1" applyFill="1" applyAlignment="1">
      <alignment vertical="center" wrapText="1"/>
    </xf>
    <xf numFmtId="0" fontId="60" fillId="6" borderId="0" xfId="77" applyFont="1" applyFill="1" applyAlignment="1">
      <alignment vertical="center" wrapText="1"/>
    </xf>
    <xf numFmtId="0" fontId="62" fillId="6" borderId="0" xfId="77" applyFont="1" applyFill="1" applyAlignment="1">
      <alignment vertical="center" wrapText="1"/>
    </xf>
    <xf numFmtId="0" fontId="61" fillId="6" borderId="0" xfId="77" applyFont="1" applyFill="1" applyAlignment="1">
      <alignment horizontal="left" vertical="center" wrapText="1"/>
    </xf>
    <xf numFmtId="0" fontId="60" fillId="6" borderId="0" xfId="77" applyFont="1" applyFill="1" applyBorder="1" applyAlignment="1">
      <alignment vertical="center" wrapText="1"/>
    </xf>
    <xf numFmtId="0" fontId="60" fillId="6" borderId="0" xfId="77" applyFont="1" applyFill="1" applyBorder="1" applyAlignment="1"/>
    <xf numFmtId="0" fontId="60" fillId="0" borderId="0" xfId="77" applyFont="1" applyAlignment="1"/>
    <xf numFmtId="0" fontId="64" fillId="6" borderId="0" xfId="78" applyFont="1" applyFill="1" applyAlignment="1" applyProtection="1">
      <alignment vertical="center"/>
    </xf>
    <xf numFmtId="0" fontId="61" fillId="6" borderId="0" xfId="77" applyFont="1" applyFill="1" applyBorder="1" applyAlignment="1">
      <alignment vertical="top" wrapText="1"/>
    </xf>
    <xf numFmtId="0" fontId="60" fillId="6" borderId="0" xfId="78" applyFont="1" applyFill="1" applyAlignment="1" applyProtection="1">
      <alignment vertical="center"/>
    </xf>
    <xf numFmtId="0" fontId="61" fillId="6" borderId="0" xfId="77" applyFont="1" applyFill="1" applyBorder="1" applyAlignment="1">
      <alignment vertical="center"/>
    </xf>
    <xf numFmtId="0" fontId="60" fillId="6" borderId="0" xfId="77" applyFont="1" applyFill="1" applyBorder="1" applyAlignment="1">
      <alignment vertical="center"/>
    </xf>
    <xf numFmtId="0" fontId="60" fillId="6" borderId="0" xfId="77" applyFont="1" applyFill="1" applyBorder="1" applyAlignment="1">
      <alignment vertical="top" wrapText="1"/>
    </xf>
    <xf numFmtId="0" fontId="61" fillId="6" borderId="0" xfId="77" applyFont="1" applyFill="1" applyBorder="1" applyAlignment="1">
      <alignment vertical="center" wrapText="1"/>
    </xf>
    <xf numFmtId="0" fontId="60" fillId="6" borderId="0" xfId="42" applyFont="1">
      <alignment vertical="center" wrapText="1"/>
    </xf>
    <xf numFmtId="0" fontId="61" fillId="6" borderId="0" xfId="77" applyFont="1" applyFill="1" applyBorder="1" applyAlignment="1">
      <alignment wrapText="1"/>
    </xf>
    <xf numFmtId="0" fontId="60" fillId="6" borderId="0" xfId="77" applyFont="1" applyFill="1" applyBorder="1" applyAlignment="1">
      <alignment wrapText="1"/>
    </xf>
    <xf numFmtId="0" fontId="60" fillId="13" borderId="0" xfId="77" quotePrefix="1" applyFont="1" applyFill="1" applyBorder="1" applyAlignment="1">
      <alignment horizontal="left" vertical="center" wrapText="1"/>
    </xf>
    <xf numFmtId="0" fontId="60" fillId="6" borderId="0" xfId="77" quotePrefix="1" applyFont="1" applyFill="1" applyAlignment="1">
      <alignment vertical="center"/>
    </xf>
    <xf numFmtId="0" fontId="66" fillId="0" borderId="0" xfId="70" applyFont="1" applyFill="1" applyBorder="1" applyAlignment="1"/>
    <xf numFmtId="0" fontId="65" fillId="0" borderId="0" xfId="70" applyFont="1" applyFill="1" applyBorder="1" applyAlignment="1">
      <alignment horizontal="center"/>
    </xf>
    <xf numFmtId="0" fontId="65" fillId="0" borderId="0" xfId="70" applyFont="1" applyFill="1" applyBorder="1">
      <alignment vertical="center"/>
    </xf>
    <xf numFmtId="0" fontId="60" fillId="4" borderId="0" xfId="70" applyFont="1" applyFill="1" applyAlignment="1">
      <alignment horizontal="center" vertical="center"/>
    </xf>
    <xf numFmtId="0" fontId="60" fillId="7" borderId="0" xfId="70" applyFont="1" applyFill="1" applyBorder="1" applyAlignment="1">
      <alignment horizontal="center" vertical="center"/>
    </xf>
    <xf numFmtId="0" fontId="65" fillId="0" borderId="0" xfId="79" applyFont="1" applyFill="1" applyBorder="1"/>
    <xf numFmtId="0" fontId="66" fillId="14" borderId="0" xfId="70" applyFont="1" applyFill="1" applyBorder="1" applyAlignment="1">
      <alignment vertical="center" wrapText="1"/>
    </xf>
    <xf numFmtId="0" fontId="60" fillId="3" borderId="0" xfId="70" applyFont="1" applyFill="1" applyBorder="1" applyAlignment="1">
      <alignment horizontal="center" vertical="center" wrapText="1"/>
    </xf>
    <xf numFmtId="0" fontId="60" fillId="3" borderId="0" xfId="70" applyFont="1" applyFill="1" applyBorder="1" applyAlignment="1">
      <alignment vertical="center" wrapText="1"/>
    </xf>
    <xf numFmtId="0" fontId="60" fillId="0" borderId="0" xfId="79" applyFont="1" applyBorder="1" applyAlignment="1">
      <alignment wrapText="1"/>
    </xf>
    <xf numFmtId="0" fontId="66" fillId="14" borderId="0" xfId="70" applyFont="1" applyFill="1" applyBorder="1" applyAlignment="1">
      <alignment vertical="center"/>
    </xf>
    <xf numFmtId="0" fontId="60" fillId="3" borderId="0" xfId="70" applyFont="1" applyFill="1" applyBorder="1" applyAlignment="1">
      <alignment horizontal="center" vertical="center"/>
    </xf>
    <xf numFmtId="0" fontId="60" fillId="3" borderId="0" xfId="70" applyFont="1" applyFill="1" applyBorder="1" applyAlignment="1">
      <alignment vertical="center"/>
    </xf>
    <xf numFmtId="0" fontId="60" fillId="0" borderId="0" xfId="79" applyFont="1" applyBorder="1"/>
    <xf numFmtId="0" fontId="60" fillId="0" borderId="0" xfId="70" applyFont="1" applyFill="1" applyBorder="1" applyAlignment="1">
      <alignment horizontal="center" vertical="center"/>
    </xf>
    <xf numFmtId="185" fontId="60" fillId="4" borderId="0" xfId="69" applyFont="1" applyFill="1" applyBorder="1" applyAlignment="1">
      <alignment horizontal="left" vertical="center" wrapText="1"/>
    </xf>
    <xf numFmtId="0" fontId="60" fillId="0" borderId="0" xfId="80" applyFont="1" applyAlignment="1">
      <alignment horizontal="left" vertical="center" wrapText="1"/>
    </xf>
    <xf numFmtId="170" fontId="60" fillId="8" borderId="19" xfId="80" applyNumberFormat="1" applyFont="1" applyFill="1" applyBorder="1" applyAlignment="1">
      <alignment horizontal="left" vertical="center" wrapText="1"/>
    </xf>
    <xf numFmtId="0" fontId="60" fillId="0" borderId="19" xfId="80" applyFont="1" applyBorder="1" applyAlignment="1">
      <alignment horizontal="left" vertical="center" wrapText="1"/>
    </xf>
    <xf numFmtId="0" fontId="60" fillId="7" borderId="0" xfId="80" applyFont="1" applyFill="1" applyAlignment="1">
      <alignment horizontal="left" vertical="center" wrapText="1"/>
    </xf>
    <xf numFmtId="184" fontId="60" fillId="0" borderId="0" xfId="80" applyNumberFormat="1" applyFont="1" applyAlignment="1">
      <alignment horizontal="left" vertical="center" wrapText="1"/>
    </xf>
    <xf numFmtId="0" fontId="66" fillId="14" borderId="0" xfId="70" applyFont="1" applyFill="1" applyBorder="1" applyAlignment="1">
      <alignment horizontal="left" vertical="center"/>
    </xf>
    <xf numFmtId="184" fontId="60" fillId="7" borderId="0" xfId="80" applyNumberFormat="1" applyFont="1" applyFill="1" applyAlignment="1">
      <alignment horizontal="left" vertical="center" wrapText="1"/>
    </xf>
    <xf numFmtId="0" fontId="60" fillId="0" borderId="20" xfId="80" applyFont="1" applyBorder="1" applyAlignment="1">
      <alignment horizontal="left" vertical="center" wrapText="1"/>
    </xf>
    <xf numFmtId="0" fontId="60" fillId="0" borderId="0" xfId="70" applyFont="1" applyBorder="1" applyAlignment="1">
      <alignment horizontal="center"/>
    </xf>
    <xf numFmtId="184" fontId="60" fillId="0" borderId="0" xfId="80" applyNumberFormat="1" applyFont="1" applyFill="1" applyAlignment="1">
      <alignment horizontal="left" vertical="center" wrapText="1"/>
    </xf>
    <xf numFmtId="14" fontId="60" fillId="0" borderId="0" xfId="80" applyNumberFormat="1" applyFont="1" applyFill="1" applyAlignment="1">
      <alignment horizontal="left" vertical="center" wrapText="1"/>
    </xf>
    <xf numFmtId="0" fontId="60" fillId="0" borderId="0" xfId="70" applyFont="1" applyBorder="1" applyAlignment="1">
      <alignment horizontal="left" vertical="center" wrapText="1"/>
    </xf>
    <xf numFmtId="0" fontId="60" fillId="0" borderId="0" xfId="70" applyFont="1" applyBorder="1">
      <alignment vertical="center"/>
    </xf>
    <xf numFmtId="0" fontId="66" fillId="45" borderId="0" xfId="80" applyFont="1" applyFill="1" applyBorder="1" applyAlignment="1"/>
    <xf numFmtId="0" fontId="60" fillId="0" borderId="0" xfId="79" applyFont="1" applyBorder="1" applyAlignment="1">
      <alignment horizontal="center"/>
    </xf>
    <xf numFmtId="0" fontId="60" fillId="0" borderId="0" xfId="70" applyFont="1" applyAlignment="1">
      <alignment horizontal="left" vertical="center" wrapText="1"/>
    </xf>
    <xf numFmtId="0" fontId="66" fillId="14" borderId="0" xfId="81" applyFont="1" applyFill="1">
      <alignment vertical="center"/>
    </xf>
    <xf numFmtId="0" fontId="65" fillId="14" borderId="0" xfId="81" applyFont="1" applyFill="1" applyAlignment="1">
      <alignment horizontal="center" vertical="center"/>
    </xf>
    <xf numFmtId="0" fontId="65" fillId="14" borderId="0" xfId="81" applyFont="1" applyFill="1">
      <alignment vertical="center"/>
    </xf>
    <xf numFmtId="0" fontId="65" fillId="14" borderId="0" xfId="70" applyFont="1" applyFill="1" applyAlignment="1">
      <alignment vertical="center"/>
    </xf>
    <xf numFmtId="0" fontId="65" fillId="14" borderId="0" xfId="79" applyFont="1" applyFill="1"/>
    <xf numFmtId="0" fontId="60" fillId="0" borderId="0" xfId="81" applyFont="1" applyAlignment="1">
      <alignment horizontal="center" vertical="center"/>
    </xf>
    <xf numFmtId="0" fontId="60" fillId="0" borderId="0" xfId="81" applyFont="1">
      <alignment vertical="center"/>
    </xf>
    <xf numFmtId="0" fontId="60" fillId="7" borderId="0" xfId="70" applyFont="1" applyFill="1" applyBorder="1" applyAlignment="1">
      <alignment horizontal="left" vertical="center" wrapText="1"/>
    </xf>
    <xf numFmtId="0" fontId="60" fillId="0" borderId="0" xfId="79" applyFont="1"/>
    <xf numFmtId="0" fontId="60" fillId="3" borderId="0" xfId="81" applyFont="1" applyFill="1">
      <alignment vertical="center"/>
    </xf>
    <xf numFmtId="0" fontId="60" fillId="3" borderId="0" xfId="70" applyFont="1" applyFill="1" applyBorder="1" applyAlignment="1">
      <alignment horizontal="left" vertical="center" wrapText="1"/>
    </xf>
    <xf numFmtId="0" fontId="60" fillId="0" borderId="0" xfId="70" applyFont="1" applyFill="1" applyBorder="1" applyAlignment="1">
      <alignment horizontal="left" vertical="center" wrapText="1"/>
    </xf>
    <xf numFmtId="0" fontId="60" fillId="0" borderId="0" xfId="70" quotePrefix="1" applyFont="1" applyBorder="1" applyAlignment="1">
      <alignment horizontal="left" vertical="center" wrapText="1"/>
    </xf>
    <xf numFmtId="0" fontId="60" fillId="0" borderId="0" xfId="70" applyFont="1" applyAlignment="1">
      <alignment vertical="center"/>
    </xf>
    <xf numFmtId="0" fontId="66" fillId="0" borderId="0" xfId="79" applyFont="1" applyAlignment="1"/>
    <xf numFmtId="0" fontId="60" fillId="0" borderId="0" xfId="79" applyFont="1" applyAlignment="1">
      <alignment horizontal="center"/>
    </xf>
    <xf numFmtId="0" fontId="60" fillId="0" borderId="0" xfId="70" applyFont="1">
      <alignment vertical="center"/>
    </xf>
    <xf numFmtId="0" fontId="66" fillId="14" borderId="0" xfId="81" applyFont="1" applyFill="1" applyAlignment="1"/>
    <xf numFmtId="0" fontId="65" fillId="14" borderId="0" xfId="81" applyFont="1" applyFill="1" applyAlignment="1">
      <alignment horizontal="center"/>
    </xf>
    <xf numFmtId="0" fontId="65" fillId="14" borderId="0" xfId="81" applyFont="1" applyFill="1" applyAlignment="1"/>
    <xf numFmtId="0" fontId="65" fillId="14" borderId="0" xfId="79" applyFont="1" applyFill="1" applyBorder="1" applyAlignment="1">
      <alignment horizontal="left" wrapText="1"/>
    </xf>
    <xf numFmtId="0" fontId="60" fillId="0" borderId="0" xfId="81" applyFont="1" applyAlignment="1">
      <alignment horizontal="center"/>
    </xf>
    <xf numFmtId="0" fontId="60" fillId="0" borderId="0" xfId="81" applyFont="1" applyAlignment="1"/>
    <xf numFmtId="0" fontId="60" fillId="0" borderId="0" xfId="79" applyFont="1" applyFill="1" applyBorder="1" applyAlignment="1">
      <alignment horizontal="left" wrapText="1"/>
    </xf>
    <xf numFmtId="0" fontId="60" fillId="3" borderId="0" xfId="81" applyFont="1" applyFill="1" applyAlignment="1">
      <alignment horizontal="center"/>
    </xf>
    <xf numFmtId="0" fontId="60" fillId="3" borderId="0" xfId="81" applyFont="1" applyFill="1" applyAlignment="1"/>
    <xf numFmtId="0" fontId="22" fillId="46" borderId="0" xfId="82" applyFont="1" applyFill="1" applyAlignment="1">
      <alignment horizontal="left" vertical="center" wrapText="1"/>
    </xf>
    <xf numFmtId="0" fontId="60" fillId="3" borderId="0" xfId="82" applyFont="1" applyFill="1" applyBorder="1" applyAlignment="1">
      <alignment horizontal="left" wrapText="1"/>
    </xf>
    <xf numFmtId="0" fontId="22" fillId="0" borderId="0" xfId="82" applyFont="1" applyAlignment="1">
      <alignment horizontal="left" vertical="center" wrapText="1"/>
    </xf>
    <xf numFmtId="0" fontId="22" fillId="0" borderId="0" xfId="82" applyFont="1" applyAlignment="1">
      <alignment horizontal="left" wrapText="1"/>
    </xf>
    <xf numFmtId="0" fontId="12" fillId="0" borderId="0" xfId="17" applyAlignment="1" applyProtection="1">
      <alignment horizontal="left" wrapText="1"/>
    </xf>
    <xf numFmtId="0" fontId="67" fillId="0" borderId="0" xfId="82" applyFont="1" applyAlignment="1">
      <alignment horizontal="left" vertical="center" wrapText="1"/>
    </xf>
    <xf numFmtId="0" fontId="60" fillId="0" borderId="0" xfId="79" applyFont="1" applyAlignment="1">
      <alignment horizontal="left" wrapText="1"/>
    </xf>
    <xf numFmtId="0" fontId="60" fillId="14" borderId="0" xfId="70" applyFont="1" applyFill="1" applyBorder="1">
      <alignment vertical="center"/>
    </xf>
    <xf numFmtId="0" fontId="66" fillId="14" borderId="0" xfId="70" applyFont="1" applyFill="1" applyBorder="1">
      <alignment vertical="center"/>
    </xf>
    <xf numFmtId="0" fontId="66" fillId="14" borderId="0" xfId="70" applyFont="1" applyFill="1" applyBorder="1" applyAlignment="1">
      <alignment horizontal="center" vertical="center"/>
    </xf>
    <xf numFmtId="0" fontId="60" fillId="14" borderId="0" xfId="70" applyFont="1" applyFill="1" applyBorder="1" applyAlignment="1">
      <alignment horizontal="right" vertical="center" wrapText="1"/>
    </xf>
    <xf numFmtId="0" fontId="60" fillId="4" borderId="0" xfId="70" applyFont="1" applyFill="1" applyBorder="1" applyAlignment="1">
      <alignment horizontal="center" vertical="center"/>
    </xf>
    <xf numFmtId="0" fontId="60" fillId="14" borderId="0" xfId="83" applyFont="1" applyFill="1" applyBorder="1" applyAlignment="1">
      <alignment horizontal="left" vertical="center"/>
    </xf>
    <xf numFmtId="0" fontId="60" fillId="0" borderId="0" xfId="70" applyFont="1" applyBorder="1" applyAlignment="1">
      <alignment vertical="top"/>
    </xf>
    <xf numFmtId="0" fontId="66" fillId="14" borderId="0" xfId="70" applyFont="1" applyFill="1" applyBorder="1" applyAlignment="1">
      <alignment horizontal="center" vertical="center" wrapText="1"/>
    </xf>
    <xf numFmtId="184" fontId="66" fillId="14" borderId="0" xfId="41" applyFont="1" applyFill="1" applyBorder="1" applyAlignment="1">
      <alignment horizontal="center" vertical="center" wrapText="1"/>
    </xf>
    <xf numFmtId="184" fontId="66" fillId="14" borderId="0" xfId="41" applyFont="1" applyFill="1" applyBorder="1" applyAlignment="1">
      <alignment horizontal="left" vertical="center"/>
    </xf>
    <xf numFmtId="184" fontId="66" fillId="14" borderId="0" xfId="41" applyFont="1" applyFill="1" applyBorder="1" applyAlignment="1">
      <alignment horizontal="left" vertical="center" wrapText="1"/>
    </xf>
    <xf numFmtId="0" fontId="60" fillId="0" borderId="0" xfId="70" applyFont="1" applyBorder="1" applyAlignment="1">
      <alignment horizontal="center" vertical="center"/>
    </xf>
    <xf numFmtId="0" fontId="60" fillId="0" borderId="0" xfId="70" applyFont="1" applyBorder="1" applyAlignment="1">
      <alignment horizontal="center" vertical="center" textRotation="90" wrapText="1"/>
    </xf>
    <xf numFmtId="0" fontId="60" fillId="0" borderId="0" xfId="70" applyFont="1" applyFill="1" applyBorder="1" applyAlignment="1">
      <alignment horizontal="center" vertical="center" wrapText="1"/>
    </xf>
    <xf numFmtId="0" fontId="60" fillId="0" borderId="0" xfId="70" applyFont="1" applyFill="1" applyBorder="1" applyAlignment="1">
      <alignment horizontal="center" vertical="center" textRotation="90" wrapText="1"/>
    </xf>
    <xf numFmtId="184" fontId="60" fillId="3" borderId="0" xfId="41" applyFont="1" applyFill="1" applyBorder="1" applyAlignment="1">
      <alignment horizontal="center" vertical="center" textRotation="90" wrapText="1"/>
    </xf>
    <xf numFmtId="184" fontId="60" fillId="3" borderId="0" xfId="41" applyFont="1" applyFill="1" applyBorder="1" applyAlignment="1">
      <alignment horizontal="left" vertical="center"/>
    </xf>
    <xf numFmtId="184" fontId="60" fillId="3" borderId="0" xfId="41" applyFont="1" applyFill="1" applyBorder="1" applyAlignment="1">
      <alignment horizontal="left" vertical="center" wrapText="1"/>
    </xf>
    <xf numFmtId="0" fontId="60" fillId="5" borderId="0" xfId="70" applyFont="1" applyFill="1" applyBorder="1" applyAlignment="1">
      <alignment horizontal="center" vertical="center" textRotation="90" wrapText="1"/>
    </xf>
    <xf numFmtId="0" fontId="60" fillId="18" borderId="0" xfId="70" applyFont="1" applyFill="1" applyBorder="1" applyAlignment="1">
      <alignment horizontal="center" vertical="center" textRotation="90" wrapText="1"/>
    </xf>
    <xf numFmtId="0" fontId="60" fillId="47" borderId="0" xfId="70" applyFont="1" applyFill="1" applyBorder="1" applyAlignment="1">
      <alignment horizontal="center" vertical="center" textRotation="90" wrapText="1"/>
    </xf>
    <xf numFmtId="0" fontId="60" fillId="0" borderId="0" xfId="70" applyFont="1" applyBorder="1" applyAlignment="1">
      <alignment horizontal="center" vertical="center" textRotation="90"/>
    </xf>
    <xf numFmtId="0" fontId="60" fillId="0" borderId="0" xfId="70" applyFont="1" applyBorder="1" applyAlignment="1">
      <alignment horizontal="center" vertical="center" wrapText="1"/>
    </xf>
    <xf numFmtId="184" fontId="68" fillId="3" borderId="0" xfId="41" applyFont="1" applyFill="1" applyBorder="1" applyAlignment="1">
      <alignment horizontal="center" vertical="center"/>
    </xf>
    <xf numFmtId="184" fontId="68" fillId="3" borderId="0" xfId="41" applyFont="1" applyFill="1" applyBorder="1" applyAlignment="1">
      <alignment horizontal="left" vertical="center"/>
    </xf>
    <xf numFmtId="0" fontId="60" fillId="0" borderId="0" xfId="70" applyNumberFormat="1" applyFont="1" applyBorder="1" applyAlignment="1">
      <alignment vertical="top"/>
    </xf>
    <xf numFmtId="0" fontId="60" fillId="0" borderId="0" xfId="70" applyFont="1" applyBorder="1" applyAlignment="1">
      <alignment horizontal="left"/>
    </xf>
    <xf numFmtId="0" fontId="60" fillId="5" borderId="0" xfId="70" applyFont="1" applyFill="1" applyBorder="1" applyAlignment="1">
      <alignment horizontal="center" vertical="center" wrapText="1"/>
    </xf>
    <xf numFmtId="0" fontId="60" fillId="47" borderId="0" xfId="70" applyFont="1" applyFill="1" applyBorder="1" applyAlignment="1">
      <alignment horizontal="center" vertical="center" wrapText="1"/>
    </xf>
    <xf numFmtId="0" fontId="60" fillId="0" borderId="0" xfId="70" applyFont="1" applyFill="1" applyBorder="1" applyAlignment="1">
      <alignment horizontal="center"/>
    </xf>
    <xf numFmtId="0" fontId="60" fillId="47" borderId="0" xfId="70" applyFont="1" applyFill="1" applyBorder="1" applyAlignment="1">
      <alignment horizontal="center"/>
    </xf>
    <xf numFmtId="0" fontId="60" fillId="0" borderId="0" xfId="70" applyFont="1" applyBorder="1" applyAlignment="1">
      <alignment horizontal="center" vertical="top" wrapText="1"/>
    </xf>
    <xf numFmtId="205" fontId="60" fillId="0" borderId="0" xfId="70" applyNumberFormat="1" applyFont="1" applyBorder="1" applyAlignment="1">
      <alignment horizontal="center"/>
    </xf>
    <xf numFmtId="205" fontId="60" fillId="47" borderId="0" xfId="70" applyNumberFormat="1" applyFont="1" applyFill="1" applyBorder="1" applyAlignment="1">
      <alignment horizontal="center"/>
    </xf>
    <xf numFmtId="2" fontId="60" fillId="0" borderId="0" xfId="70" applyNumberFormat="1" applyFont="1" applyFill="1" applyBorder="1" applyAlignment="1">
      <alignment horizontal="center"/>
    </xf>
    <xf numFmtId="0" fontId="60" fillId="14" borderId="0" xfId="70" applyFont="1" applyFill="1" applyBorder="1" applyAlignment="1">
      <alignment vertical="center" wrapText="1"/>
    </xf>
    <xf numFmtId="0" fontId="60" fillId="5" borderId="0" xfId="70" applyFont="1" applyFill="1" applyBorder="1" applyAlignment="1" applyProtection="1">
      <alignment horizontal="center" vertical="center" wrapText="1"/>
      <protection locked="0"/>
    </xf>
    <xf numFmtId="0" fontId="60" fillId="5" borderId="0" xfId="70" applyFont="1" applyFill="1" applyBorder="1" applyAlignment="1" applyProtection="1">
      <alignment horizontal="center" vertical="center"/>
      <protection locked="0"/>
    </xf>
    <xf numFmtId="185" fontId="60" fillId="5" borderId="0" xfId="69" applyFont="1" applyFill="1" applyBorder="1" applyAlignment="1">
      <alignment horizontal="left" vertical="center" wrapText="1"/>
    </xf>
    <xf numFmtId="185" fontId="60" fillId="5" borderId="0" xfId="69" applyFont="1" applyFill="1" applyBorder="1" applyAlignment="1">
      <alignment horizontal="center" vertical="center"/>
    </xf>
    <xf numFmtId="185" fontId="60" fillId="5" borderId="0" xfId="69" quotePrefix="1" applyFont="1" applyFill="1" applyBorder="1" applyAlignment="1">
      <alignment horizontal="left" vertical="center"/>
    </xf>
    <xf numFmtId="0" fontId="60" fillId="5" borderId="0" xfId="69" quotePrefix="1" applyNumberFormat="1" applyFont="1" applyFill="1" applyBorder="1" applyAlignment="1">
      <alignment horizontal="center" vertical="center"/>
    </xf>
    <xf numFmtId="1" fontId="60" fillId="5" borderId="0" xfId="70" applyNumberFormat="1" applyFont="1" applyFill="1" applyBorder="1" applyAlignment="1">
      <alignment horizontal="center" vertical="center"/>
    </xf>
    <xf numFmtId="0" fontId="60" fillId="0" borderId="0" xfId="69" applyNumberFormat="1" applyFont="1" applyFill="1" applyBorder="1" applyAlignment="1">
      <alignment horizontal="center" vertical="center"/>
    </xf>
    <xf numFmtId="2" fontId="60" fillId="0" borderId="0" xfId="69" applyNumberFormat="1" applyFont="1" applyFill="1" applyBorder="1" applyAlignment="1">
      <alignment horizontal="center" vertical="center"/>
    </xf>
    <xf numFmtId="0" fontId="60" fillId="0" borderId="0" xfId="69" applyNumberFormat="1" applyFont="1" applyFill="1" applyBorder="1" applyAlignment="1">
      <alignment horizontal="left" vertical="center"/>
    </xf>
    <xf numFmtId="1" fontId="60" fillId="0" borderId="0" xfId="70" applyNumberFormat="1" applyFont="1" applyFill="1" applyBorder="1" applyAlignment="1">
      <alignment horizontal="center" vertical="center"/>
    </xf>
    <xf numFmtId="0" fontId="60" fillId="4" borderId="0" xfId="70" applyNumberFormat="1" applyFont="1" applyFill="1" applyBorder="1" applyAlignment="1">
      <alignment vertical="center"/>
    </xf>
    <xf numFmtId="0" fontId="60" fillId="18" borderId="0" xfId="70" applyFont="1" applyFill="1" applyBorder="1" applyAlignment="1">
      <alignment horizontal="center" vertical="center"/>
    </xf>
    <xf numFmtId="2" fontId="60" fillId="5" borderId="0" xfId="70" applyNumberFormat="1" applyFont="1" applyFill="1" applyBorder="1" applyAlignment="1">
      <alignment horizontal="center" vertical="center"/>
    </xf>
    <xf numFmtId="2" fontId="60" fillId="47" borderId="0" xfId="70" applyNumberFormat="1" applyFont="1" applyFill="1" applyBorder="1" applyAlignment="1">
      <alignment horizontal="center" vertical="center"/>
    </xf>
    <xf numFmtId="2" fontId="60" fillId="0" borderId="0" xfId="70" applyNumberFormat="1" applyFont="1" applyFill="1" applyBorder="1" applyAlignment="1">
      <alignment horizontal="center" vertical="center"/>
    </xf>
    <xf numFmtId="2" fontId="60" fillId="0" borderId="0" xfId="70" applyNumberFormat="1" applyFont="1" applyBorder="1" applyAlignment="1">
      <alignment vertical="center"/>
    </xf>
    <xf numFmtId="0" fontId="60" fillId="7" borderId="0" xfId="70" quotePrefix="1" applyFont="1" applyFill="1" applyBorder="1" applyAlignment="1" applyProtection="1">
      <alignment horizontal="center" vertical="center"/>
      <protection locked="0"/>
    </xf>
    <xf numFmtId="0" fontId="60" fillId="7" borderId="0" xfId="70" applyFont="1" applyFill="1" applyBorder="1" applyAlignment="1" applyProtection="1">
      <alignment horizontal="center" vertical="center" wrapText="1"/>
      <protection locked="0"/>
    </xf>
    <xf numFmtId="185" fontId="60" fillId="4" borderId="0" xfId="69" applyFont="1" applyFill="1" applyBorder="1" applyAlignment="1">
      <alignment horizontal="center" vertical="center"/>
    </xf>
    <xf numFmtId="185" fontId="60" fillId="4" borderId="0" xfId="69" quotePrefix="1" applyFont="1" applyFill="1" applyBorder="1" applyAlignment="1">
      <alignment horizontal="left" vertical="center"/>
    </xf>
    <xf numFmtId="0" fontId="60" fillId="4" borderId="0" xfId="69" quotePrefix="1" applyNumberFormat="1" applyFont="1" applyFill="1" applyBorder="1" applyAlignment="1">
      <alignment horizontal="center" vertical="center"/>
    </xf>
    <xf numFmtId="175" fontId="60" fillId="7" borderId="0" xfId="70" applyNumberFormat="1" applyFont="1" applyFill="1" applyBorder="1" applyAlignment="1">
      <alignment horizontal="center" vertical="center"/>
    </xf>
    <xf numFmtId="0" fontId="60" fillId="0" borderId="0" xfId="69" applyNumberFormat="1" applyFont="1" applyFill="1" applyBorder="1" applyAlignment="1">
      <alignment horizontal="left" vertical="center" wrapText="1"/>
    </xf>
    <xf numFmtId="0" fontId="60" fillId="7" borderId="0" xfId="70" applyNumberFormat="1" applyFont="1" applyFill="1" applyBorder="1" applyAlignment="1">
      <alignment vertical="center"/>
    </xf>
    <xf numFmtId="0" fontId="66" fillId="0" borderId="0" xfId="70" applyFont="1" applyBorder="1">
      <alignment vertical="center"/>
    </xf>
    <xf numFmtId="0" fontId="66" fillId="0" borderId="0" xfId="70" applyFont="1" applyBorder="1" applyAlignment="1">
      <alignment horizontal="center" vertical="center"/>
    </xf>
    <xf numFmtId="0" fontId="60" fillId="0" borderId="0" xfId="83" applyFont="1" applyBorder="1" applyAlignment="1">
      <alignment horizontal="left" vertical="center"/>
    </xf>
    <xf numFmtId="0" fontId="0" fillId="41" borderId="0" xfId="0" applyFill="1" applyAlignment="1">
      <alignment wrapText="1"/>
    </xf>
    <xf numFmtId="0" fontId="22" fillId="18" borderId="0" xfId="84" applyFont="1" applyFill="1" applyAlignment="1">
      <alignment horizontal="center"/>
    </xf>
    <xf numFmtId="0" fontId="22" fillId="7" borderId="0" xfId="0" applyFont="1" applyFill="1" applyBorder="1" applyAlignment="1">
      <alignment horizontal="center" vertical="center"/>
    </xf>
    <xf numFmtId="0" fontId="0" fillId="25" borderId="0" xfId="0" applyFill="1" applyAlignment="1">
      <alignment wrapText="1"/>
    </xf>
    <xf numFmtId="0" fontId="3" fillId="25" borderId="0" xfId="0" applyFont="1" applyFill="1" applyAlignment="1">
      <alignment wrapText="1"/>
    </xf>
    <xf numFmtId="0" fontId="22" fillId="48" borderId="0" xfId="84" applyFont="1" applyFill="1" applyAlignment="1">
      <alignment horizontal="center"/>
    </xf>
    <xf numFmtId="0" fontId="22" fillId="49" borderId="0" xfId="0" applyFont="1" applyFill="1" applyBorder="1" applyAlignment="1">
      <alignment horizontal="center" vertical="center"/>
    </xf>
    <xf numFmtId="0" fontId="22" fillId="25" borderId="0" xfId="84" applyFont="1" applyFill="1" applyAlignment="1">
      <alignment horizontal="center"/>
    </xf>
    <xf numFmtId="0" fontId="22" fillId="48" borderId="0" xfId="0" applyFont="1" applyFill="1" applyAlignment="1">
      <alignment horizontal="center" vertical="center"/>
    </xf>
    <xf numFmtId="0" fontId="22" fillId="48" borderId="0" xfId="0" applyFont="1" applyFill="1" applyBorder="1" applyAlignment="1">
      <alignment horizontal="center" vertical="center"/>
    </xf>
    <xf numFmtId="0" fontId="0" fillId="50" borderId="0" xfId="0" applyFill="1" applyAlignment="1">
      <alignment wrapText="1"/>
    </xf>
    <xf numFmtId="0" fontId="0" fillId="29" borderId="0" xfId="0" applyFill="1" applyAlignment="1">
      <alignment wrapText="1"/>
    </xf>
    <xf numFmtId="0" fontId="0" fillId="22" borderId="0" xfId="0" applyFill="1" applyAlignment="1">
      <alignment wrapText="1"/>
    </xf>
    <xf numFmtId="0" fontId="3" fillId="22" borderId="0" xfId="0" applyFont="1" applyFill="1" applyAlignment="1">
      <alignment wrapText="1"/>
    </xf>
    <xf numFmtId="0" fontId="0" fillId="27" borderId="0" xfId="0" applyFill="1"/>
    <xf numFmtId="0" fontId="3" fillId="0" borderId="0" xfId="0" applyFont="1" applyAlignment="1">
      <alignment vertical="center" wrapText="1"/>
    </xf>
    <xf numFmtId="11" fontId="60" fillId="0" borderId="0" xfId="70" applyNumberFormat="1" applyFont="1" applyBorder="1" applyAlignment="1">
      <alignment vertical="top"/>
    </xf>
    <xf numFmtId="175" fontId="60" fillId="25" borderId="0" xfId="70" applyNumberFormat="1" applyFont="1" applyFill="1" applyBorder="1" applyAlignment="1">
      <alignment horizontal="center" vertical="center"/>
    </xf>
    <xf numFmtId="0" fontId="3" fillId="27" borderId="10" xfId="0" applyFont="1" applyFill="1" applyBorder="1" applyProtection="1"/>
    <xf numFmtId="0" fontId="3" fillId="27" borderId="12" xfId="0" applyFont="1" applyFill="1" applyBorder="1" applyProtection="1"/>
    <xf numFmtId="172" fontId="0" fillId="0" borderId="0" xfId="11" applyNumberFormat="1" applyFont="1"/>
    <xf numFmtId="0" fontId="5" fillId="5" borderId="12" xfId="0" applyFont="1" applyFill="1" applyBorder="1" applyProtection="1"/>
    <xf numFmtId="0" fontId="3" fillId="18" borderId="0" xfId="37" applyFill="1" applyProtection="1"/>
    <xf numFmtId="0" fontId="3" fillId="0" borderId="0" xfId="37" applyFont="1" applyFill="1" applyProtection="1"/>
    <xf numFmtId="0" fontId="5" fillId="0" borderId="0" xfId="37" applyFont="1" applyFill="1" applyProtection="1"/>
    <xf numFmtId="0" fontId="5" fillId="8" borderId="0" xfId="37" applyFont="1" applyFill="1" applyProtection="1"/>
    <xf numFmtId="0" fontId="3" fillId="0" borderId="0" xfId="37" applyProtection="1"/>
    <xf numFmtId="0" fontId="5" fillId="0" borderId="0" xfId="39" applyFont="1" applyFill="1" applyProtection="1"/>
    <xf numFmtId="0" fontId="3" fillId="0" borderId="0" xfId="37" applyAlignment="1" applyProtection="1">
      <alignment horizontal="center"/>
    </xf>
    <xf numFmtId="0" fontId="42" fillId="0" borderId="0" xfId="37" applyFont="1" applyAlignment="1" applyProtection="1">
      <alignment horizontal="center"/>
    </xf>
    <xf numFmtId="0" fontId="3" fillId="5" borderId="0" xfId="37" applyFill="1" applyProtection="1"/>
    <xf numFmtId="0" fontId="3" fillId="17" borderId="0" xfId="37" applyFill="1" applyProtection="1"/>
    <xf numFmtId="0" fontId="3" fillId="18" borderId="0" xfId="38" applyFill="1" applyAlignment="1" applyProtection="1">
      <alignment vertical="center"/>
    </xf>
    <xf numFmtId="0" fontId="3" fillId="2" borderId="0" xfId="38" applyFill="1" applyAlignment="1" applyProtection="1">
      <alignment vertical="center"/>
    </xf>
    <xf numFmtId="0" fontId="3" fillId="2" borderId="0" xfId="38" applyFill="1" applyBorder="1" applyAlignment="1" applyProtection="1">
      <alignment vertical="center"/>
    </xf>
    <xf numFmtId="0" fontId="5" fillId="2" borderId="0" xfId="38" applyFont="1" applyFill="1" applyBorder="1" applyAlignment="1" applyProtection="1">
      <alignment vertical="center"/>
    </xf>
    <xf numFmtId="0" fontId="42" fillId="2" borderId="0" xfId="38" applyFont="1" applyFill="1" applyBorder="1" applyAlignment="1" applyProtection="1">
      <alignment vertical="center"/>
    </xf>
    <xf numFmtId="0" fontId="3" fillId="19" borderId="0" xfId="38" applyFill="1" applyAlignment="1" applyProtection="1">
      <alignment vertical="center"/>
    </xf>
    <xf numFmtId="9" fontId="3" fillId="19" borderId="0" xfId="38" applyNumberFormat="1" applyFill="1" applyAlignment="1" applyProtection="1">
      <alignment vertical="center"/>
    </xf>
    <xf numFmtId="9" fontId="3" fillId="19" borderId="0" xfId="33" applyFill="1" applyBorder="1" applyAlignment="1" applyProtection="1">
      <alignment horizontal="center" vertical="center"/>
    </xf>
    <xf numFmtId="175" fontId="11" fillId="7" borderId="0" xfId="38" applyNumberFormat="1" applyFont="1" applyFill="1" applyAlignment="1" applyProtection="1">
      <alignment horizontal="center" vertical="center" wrapText="1"/>
    </xf>
    <xf numFmtId="175" fontId="11" fillId="7" borderId="0" xfId="38" applyNumberFormat="1" applyFont="1" applyFill="1" applyAlignment="1" applyProtection="1">
      <alignment vertical="center" wrapText="1"/>
    </xf>
    <xf numFmtId="172" fontId="11" fillId="17" borderId="0" xfId="11" applyNumberFormat="1" applyFont="1" applyFill="1" applyAlignment="1" applyProtection="1">
      <alignment vertical="center" wrapText="1"/>
    </xf>
    <xf numFmtId="0" fontId="3" fillId="0" borderId="0" xfId="38" applyAlignment="1" applyProtection="1">
      <alignment vertical="center"/>
    </xf>
    <xf numFmtId="0" fontId="4" fillId="18" borderId="0" xfId="0" applyFont="1" applyFill="1" applyAlignment="1" applyProtection="1">
      <alignment vertical="center"/>
    </xf>
    <xf numFmtId="0" fontId="3" fillId="2" borderId="0" xfId="38" applyFill="1" applyAlignment="1" applyProtection="1">
      <alignment horizontal="center" vertical="center" wrapText="1"/>
    </xf>
    <xf numFmtId="0" fontId="5" fillId="2" borderId="0" xfId="38" applyFont="1" applyFill="1" applyAlignment="1" applyProtection="1">
      <alignment horizontal="center" vertical="center" wrapText="1"/>
    </xf>
    <xf numFmtId="0" fontId="42" fillId="2" borderId="0" xfId="38" applyFont="1" applyFill="1" applyAlignment="1" applyProtection="1">
      <alignment horizontal="center" vertical="center" wrapText="1"/>
    </xf>
    <xf numFmtId="0" fontId="22" fillId="29" borderId="0" xfId="37" applyFont="1" applyFill="1" applyAlignment="1" applyProtection="1">
      <alignment horizontal="center" vertical="center" wrapText="1"/>
    </xf>
    <xf numFmtId="0" fontId="3" fillId="24" borderId="0" xfId="38" applyFont="1" applyFill="1" applyAlignment="1" applyProtection="1">
      <alignment horizontal="center" vertical="center" wrapText="1"/>
    </xf>
    <xf numFmtId="0" fontId="5" fillId="24" borderId="0" xfId="38" applyFont="1" applyFill="1" applyAlignment="1" applyProtection="1">
      <alignment horizontal="center" vertical="center" wrapText="1"/>
    </xf>
    <xf numFmtId="175" fontId="11" fillId="17" borderId="0" xfId="38" applyNumberFormat="1" applyFont="1" applyFill="1" applyAlignment="1" applyProtection="1">
      <alignment horizontal="center" vertical="center" wrapText="1"/>
    </xf>
    <xf numFmtId="0" fontId="5" fillId="17" borderId="0" xfId="0" applyFont="1" applyFill="1" applyAlignment="1" applyProtection="1">
      <alignment horizontal="center" vertical="center" wrapText="1"/>
    </xf>
    <xf numFmtId="0" fontId="3" fillId="17" borderId="0" xfId="0" applyFont="1" applyFill="1" applyAlignment="1" applyProtection="1">
      <alignment horizontal="center" vertical="center" wrapText="1"/>
    </xf>
    <xf numFmtId="0" fontId="4" fillId="0" borderId="0" xfId="37" applyFont="1" applyAlignment="1" applyProtection="1">
      <alignment horizontal="center" vertical="center" wrapText="1"/>
    </xf>
    <xf numFmtId="0" fontId="41" fillId="15" borderId="6" xfId="0" applyFont="1" applyFill="1" applyBorder="1" applyAlignment="1" applyProtection="1">
      <alignment horizontal="center" wrapText="1"/>
    </xf>
    <xf numFmtId="0" fontId="4" fillId="0" borderId="0" xfId="37" applyFont="1" applyAlignment="1" applyProtection="1">
      <alignment vertical="center"/>
    </xf>
    <xf numFmtId="0" fontId="0" fillId="35" borderId="0" xfId="0" applyFill="1" applyAlignment="1" applyProtection="1">
      <alignment vertical="center"/>
    </xf>
    <xf numFmtId="0" fontId="3" fillId="2" borderId="0" xfId="37" applyFont="1" applyFill="1" applyAlignment="1" applyProtection="1">
      <alignment horizontal="center" vertical="center"/>
    </xf>
    <xf numFmtId="0" fontId="5" fillId="2" borderId="0" xfId="37" applyFont="1" applyFill="1" applyAlignment="1" applyProtection="1">
      <alignment horizontal="center" vertical="center"/>
    </xf>
    <xf numFmtId="0" fontId="3" fillId="2" borderId="0" xfId="37" applyFill="1" applyAlignment="1" applyProtection="1">
      <alignment horizontal="center" vertical="center"/>
    </xf>
    <xf numFmtId="0" fontId="42" fillId="2" borderId="0" xfId="37" applyFont="1" applyFill="1" applyAlignment="1" applyProtection="1">
      <alignment horizontal="center" vertical="center"/>
    </xf>
    <xf numFmtId="0" fontId="22" fillId="29" borderId="13" xfId="37" applyFont="1" applyFill="1" applyBorder="1" applyAlignment="1" applyProtection="1">
      <alignment horizontal="center" vertical="center"/>
    </xf>
    <xf numFmtId="0" fontId="3" fillId="24" borderId="0" xfId="37" applyFont="1" applyFill="1" applyAlignment="1" applyProtection="1">
      <alignment horizontal="center" vertical="center"/>
    </xf>
    <xf numFmtId="0" fontId="5" fillId="17" borderId="0" xfId="0" applyFont="1" applyFill="1" applyAlignment="1" applyProtection="1">
      <alignment horizontal="center" vertical="center"/>
    </xf>
    <xf numFmtId="0" fontId="3" fillId="0" borderId="0" xfId="37" applyAlignment="1" applyProtection="1">
      <alignment horizontal="center" vertical="center"/>
    </xf>
    <xf numFmtId="1" fontId="3" fillId="2" borderId="0" xfId="38" applyNumberFormat="1" applyFill="1" applyAlignment="1" applyProtection="1">
      <alignment vertical="center"/>
    </xf>
    <xf numFmtId="0" fontId="0" fillId="18" borderId="0" xfId="0" applyFill="1" applyAlignment="1" applyProtection="1">
      <alignment vertical="center"/>
    </xf>
    <xf numFmtId="0" fontId="0" fillId="0" borderId="0" xfId="0" applyProtection="1"/>
    <xf numFmtId="0" fontId="3" fillId="22" borderId="0" xfId="37" applyFont="1" applyFill="1" applyAlignment="1" applyProtection="1">
      <alignment horizontal="center"/>
    </xf>
    <xf numFmtId="0" fontId="5" fillId="8" borderId="0" xfId="37" applyFont="1" applyFill="1" applyAlignment="1" applyProtection="1">
      <alignment horizontal="center"/>
    </xf>
    <xf numFmtId="0" fontId="5" fillId="2" borderId="0" xfId="37" applyFont="1" applyFill="1" applyAlignment="1" applyProtection="1">
      <alignment horizontal="center"/>
    </xf>
    <xf numFmtId="1" fontId="3" fillId="22" borderId="0" xfId="37" applyNumberFormat="1" applyFont="1" applyFill="1" applyAlignment="1" applyProtection="1">
      <alignment horizontal="center"/>
    </xf>
    <xf numFmtId="0" fontId="42" fillId="2" borderId="0" xfId="37" applyFont="1" applyFill="1" applyAlignment="1" applyProtection="1">
      <alignment horizontal="center"/>
    </xf>
    <xf numFmtId="9" fontId="42" fillId="8" borderId="0" xfId="37" applyNumberFormat="1" applyFont="1" applyFill="1" applyAlignment="1" applyProtection="1">
      <alignment horizontal="center"/>
    </xf>
    <xf numFmtId="0" fontId="42" fillId="8" borderId="0" xfId="37" applyFont="1" applyFill="1" applyAlignment="1" applyProtection="1">
      <alignment horizontal="center"/>
    </xf>
    <xf numFmtId="170" fontId="3" fillId="2" borderId="0" xfId="37" applyNumberFormat="1" applyFill="1" applyAlignment="1" applyProtection="1">
      <alignment horizontal="center"/>
    </xf>
    <xf numFmtId="170" fontId="3" fillId="3" borderId="0" xfId="38" applyNumberFormat="1" applyFill="1" applyAlignment="1" applyProtection="1">
      <alignment vertical="center"/>
    </xf>
    <xf numFmtId="2" fontId="5" fillId="20" borderId="0" xfId="37" applyNumberFormat="1" applyFont="1" applyFill="1" applyAlignment="1" applyProtection="1">
      <alignment horizontal="center"/>
    </xf>
    <xf numFmtId="2" fontId="5" fillId="22" borderId="0" xfId="37" applyNumberFormat="1" applyFont="1" applyFill="1" applyAlignment="1" applyProtection="1">
      <alignment horizontal="center"/>
    </xf>
    <xf numFmtId="170" fontId="3" fillId="2" borderId="0" xfId="38" applyNumberFormat="1" applyFill="1" applyAlignment="1" applyProtection="1">
      <alignment vertical="center"/>
    </xf>
    <xf numFmtId="2" fontId="5" fillId="8" borderId="0" xfId="37" applyNumberFormat="1" applyFont="1" applyFill="1" applyAlignment="1" applyProtection="1">
      <alignment horizontal="center"/>
    </xf>
    <xf numFmtId="2" fontId="5" fillId="2" borderId="0" xfId="37" applyNumberFormat="1" applyFont="1" applyFill="1" applyAlignment="1" applyProtection="1">
      <alignment horizontal="center"/>
    </xf>
    <xf numFmtId="169" fontId="3" fillId="10" borderId="0" xfId="38" applyNumberFormat="1" applyFill="1" applyAlignment="1" applyProtection="1">
      <alignment vertical="center"/>
    </xf>
    <xf numFmtId="169" fontId="3" fillId="2" borderId="0" xfId="38" applyNumberFormat="1" applyFill="1" applyAlignment="1" applyProtection="1">
      <alignment vertical="center"/>
    </xf>
    <xf numFmtId="164" fontId="5" fillId="7" borderId="0" xfId="11" applyFont="1" applyFill="1" applyAlignment="1" applyProtection="1">
      <alignment vertical="center"/>
    </xf>
    <xf numFmtId="187" fontId="5" fillId="17" borderId="0" xfId="5" applyFill="1" applyProtection="1">
      <alignment vertical="center"/>
    </xf>
    <xf numFmtId="165" fontId="3" fillId="0" borderId="0" xfId="33" applyNumberFormat="1" applyProtection="1"/>
    <xf numFmtId="4" fontId="4" fillId="13" borderId="0" xfId="0" applyNumberFormat="1" applyFont="1" applyFill="1" applyAlignment="1" applyProtection="1">
      <alignment horizontal="center" wrapText="1"/>
    </xf>
    <xf numFmtId="193" fontId="4" fillId="13" borderId="0" xfId="0" applyNumberFormat="1" applyFont="1" applyFill="1" applyAlignment="1" applyProtection="1">
      <alignment horizontal="center" wrapText="1"/>
    </xf>
    <xf numFmtId="193" fontId="4" fillId="14" borderId="0" xfId="0" applyNumberFormat="1" applyFont="1" applyFill="1" applyAlignment="1" applyProtection="1">
      <alignment horizontal="center" wrapText="1"/>
    </xf>
    <xf numFmtId="190" fontId="3" fillId="2" borderId="0" xfId="57" applyFill="1" applyProtection="1">
      <alignment vertical="center"/>
    </xf>
    <xf numFmtId="3" fontId="4" fillId="13" borderId="0" xfId="0" applyNumberFormat="1" applyFont="1" applyFill="1" applyAlignment="1" applyProtection="1">
      <alignment horizontal="center" wrapText="1"/>
    </xf>
    <xf numFmtId="0" fontId="3" fillId="18" borderId="0" xfId="37" applyFont="1" applyFill="1" applyProtection="1"/>
    <xf numFmtId="4" fontId="4" fillId="25" borderId="0" xfId="0" applyNumberFormat="1" applyFont="1" applyFill="1" applyAlignment="1" applyProtection="1">
      <alignment horizontal="center" wrapText="1"/>
    </xf>
    <xf numFmtId="0" fontId="28" fillId="18" borderId="0" xfId="0" applyFont="1" applyFill="1" applyAlignment="1" applyProtection="1">
      <alignment vertical="center"/>
    </xf>
    <xf numFmtId="1" fontId="5" fillId="2" borderId="0" xfId="37" applyNumberFormat="1" applyFont="1" applyFill="1" applyAlignment="1" applyProtection="1">
      <alignment horizontal="center"/>
    </xf>
    <xf numFmtId="0" fontId="0" fillId="18" borderId="0" xfId="0" applyFill="1" applyAlignment="1" applyProtection="1">
      <alignment horizontal="left"/>
    </xf>
    <xf numFmtId="170" fontId="5" fillId="2" borderId="0" xfId="37" applyNumberFormat="1" applyFont="1" applyFill="1" applyAlignment="1" applyProtection="1">
      <alignment horizontal="center"/>
    </xf>
    <xf numFmtId="9" fontId="42" fillId="8" borderId="0" xfId="33" applyFont="1" applyFill="1" applyAlignment="1" applyProtection="1">
      <alignment horizontal="center"/>
    </xf>
    <xf numFmtId="0" fontId="3" fillId="8" borderId="0" xfId="37" applyFill="1" applyAlignment="1" applyProtection="1">
      <alignment horizontal="center"/>
    </xf>
    <xf numFmtId="1" fontId="5" fillId="23" borderId="0" xfId="37" applyNumberFormat="1" applyFont="1" applyFill="1" applyAlignment="1" applyProtection="1">
      <alignment horizontal="center"/>
    </xf>
    <xf numFmtId="0" fontId="3" fillId="0" borderId="0" xfId="0" applyFont="1" applyAlignment="1" applyProtection="1">
      <alignment wrapText="1"/>
    </xf>
    <xf numFmtId="175" fontId="11" fillId="17" borderId="0" xfId="38" applyNumberFormat="1" applyFont="1" applyFill="1" applyAlignment="1" applyProtection="1">
      <alignment horizontal="center" vertical="center"/>
    </xf>
    <xf numFmtId="175" fontId="11" fillId="0" borderId="0" xfId="38" applyNumberFormat="1" applyFont="1" applyFill="1" applyAlignment="1" applyProtection="1">
      <alignment horizontal="center" vertical="center"/>
    </xf>
    <xf numFmtId="0" fontId="3" fillId="2" borderId="0" xfId="37" applyFill="1" applyProtection="1"/>
    <xf numFmtId="0" fontId="0" fillId="21" borderId="0" xfId="0" applyFill="1" applyAlignment="1" applyProtection="1">
      <alignment horizontal="center"/>
    </xf>
    <xf numFmtId="1" fontId="5" fillId="21" borderId="0" xfId="33" applyNumberFormat="1" applyFont="1" applyFill="1" applyAlignment="1" applyProtection="1">
      <alignment horizontal="center"/>
    </xf>
    <xf numFmtId="9" fontId="42" fillId="9" borderId="0" xfId="33" applyFont="1" applyFill="1" applyAlignment="1" applyProtection="1">
      <alignment horizontal="center"/>
    </xf>
    <xf numFmtId="0" fontId="42" fillId="9" borderId="0" xfId="0" applyFont="1" applyFill="1" applyAlignment="1" applyProtection="1">
      <alignment horizontal="center"/>
    </xf>
    <xf numFmtId="0" fontId="0" fillId="9" borderId="0" xfId="0" applyFill="1" applyAlignment="1" applyProtection="1">
      <alignment horizontal="center"/>
    </xf>
    <xf numFmtId="187" fontId="5" fillId="7" borderId="0" xfId="5" applyFont="1" applyFill="1" applyProtection="1">
      <alignment vertical="center"/>
    </xf>
    <xf numFmtId="170" fontId="3" fillId="22" borderId="0" xfId="37" applyNumberFormat="1" applyFont="1" applyFill="1" applyAlignment="1" applyProtection="1">
      <alignment horizontal="center"/>
    </xf>
    <xf numFmtId="0" fontId="5" fillId="21" borderId="0" xfId="37" applyFont="1" applyFill="1" applyAlignment="1" applyProtection="1">
      <alignment horizontal="center"/>
    </xf>
    <xf numFmtId="0" fontId="0" fillId="0" borderId="0" xfId="0" applyAlignment="1" applyProtection="1">
      <alignment wrapText="1"/>
    </xf>
    <xf numFmtId="0" fontId="3" fillId="0" borderId="0" xfId="0" applyFont="1" applyFill="1" applyAlignment="1" applyProtection="1">
      <alignment vertical="center"/>
    </xf>
    <xf numFmtId="0" fontId="3" fillId="18" borderId="0" xfId="0" applyFont="1" applyFill="1" applyAlignment="1" applyProtection="1">
      <alignment vertical="center"/>
    </xf>
    <xf numFmtId="0" fontId="5" fillId="51" borderId="0" xfId="37" applyFont="1" applyFill="1" applyAlignment="1" applyProtection="1">
      <alignment horizontal="center"/>
    </xf>
    <xf numFmtId="0" fontId="3" fillId="32" borderId="0" xfId="37" applyFont="1" applyFill="1" applyAlignment="1" applyProtection="1">
      <alignment horizontal="center"/>
    </xf>
    <xf numFmtId="0" fontId="3" fillId="20" borderId="0" xfId="37" applyFill="1" applyAlignment="1" applyProtection="1">
      <alignment horizontal="center"/>
    </xf>
    <xf numFmtId="0" fontId="40" fillId="8" borderId="0" xfId="37" applyFont="1" applyFill="1" applyAlignment="1" applyProtection="1">
      <alignment horizontal="center"/>
    </xf>
    <xf numFmtId="170" fontId="40" fillId="2" borderId="0" xfId="37" applyNumberFormat="1" applyFont="1" applyFill="1" applyAlignment="1" applyProtection="1">
      <alignment horizontal="center"/>
    </xf>
    <xf numFmtId="0" fontId="40" fillId="2" borderId="0" xfId="37" applyFont="1" applyFill="1" applyProtection="1"/>
    <xf numFmtId="0" fontId="40" fillId="0" borderId="0" xfId="37" applyFont="1" applyProtection="1"/>
    <xf numFmtId="0" fontId="40" fillId="21" borderId="0" xfId="0" applyFont="1" applyFill="1" applyAlignment="1" applyProtection="1">
      <alignment horizontal="center"/>
    </xf>
    <xf numFmtId="0" fontId="4" fillId="2" borderId="0" xfId="37" applyFont="1" applyFill="1" applyAlignment="1" applyProtection="1">
      <alignment horizontal="center"/>
    </xf>
    <xf numFmtId="0" fontId="3" fillId="2" borderId="0" xfId="37" applyFill="1" applyAlignment="1" applyProtection="1">
      <alignment horizontal="center"/>
    </xf>
    <xf numFmtId="0" fontId="44" fillId="2" borderId="0" xfId="37" applyFont="1" applyFill="1" applyAlignment="1" applyProtection="1">
      <alignment horizontal="center"/>
    </xf>
    <xf numFmtId="9" fontId="42" fillId="2" borderId="0" xfId="37" applyNumberFormat="1" applyFont="1" applyFill="1" applyAlignment="1" applyProtection="1">
      <alignment horizontal="center"/>
    </xf>
    <xf numFmtId="1" fontId="3" fillId="2" borderId="0" xfId="37" applyNumberFormat="1" applyFill="1" applyAlignment="1" applyProtection="1">
      <alignment horizontal="center"/>
    </xf>
    <xf numFmtId="0" fontId="3" fillId="3" borderId="0" xfId="37" applyFill="1" applyAlignment="1" applyProtection="1">
      <alignment horizontal="center"/>
    </xf>
    <xf numFmtId="2" fontId="5" fillId="0" borderId="0" xfId="37" applyNumberFormat="1" applyFont="1" applyFill="1" applyAlignment="1" applyProtection="1">
      <alignment horizontal="center"/>
    </xf>
    <xf numFmtId="164" fontId="11" fillId="7" borderId="0" xfId="11" applyFont="1" applyFill="1" applyAlignment="1" applyProtection="1">
      <alignment horizontal="center" vertical="center"/>
    </xf>
    <xf numFmtId="175" fontId="11" fillId="7" borderId="0" xfId="38" applyNumberFormat="1" applyFont="1" applyFill="1" applyAlignment="1" applyProtection="1">
      <alignment horizontal="center" vertical="center"/>
    </xf>
    <xf numFmtId="175" fontId="11" fillId="25" borderId="0" xfId="38" applyNumberFormat="1" applyFont="1" applyFill="1" applyAlignment="1" applyProtection="1">
      <alignment horizontal="center" vertical="center"/>
    </xf>
    <xf numFmtId="0" fontId="0" fillId="20" borderId="0" xfId="0" applyFill="1" applyAlignment="1" applyProtection="1">
      <alignment horizontal="center"/>
    </xf>
    <xf numFmtId="0" fontId="3" fillId="30" borderId="0" xfId="37" applyFont="1" applyFill="1" applyAlignment="1" applyProtection="1">
      <alignment horizontal="center"/>
    </xf>
    <xf numFmtId="1" fontId="3" fillId="30" borderId="0" xfId="37" applyNumberFormat="1" applyFont="1" applyFill="1" applyAlignment="1" applyProtection="1">
      <alignment horizontal="center"/>
    </xf>
    <xf numFmtId="0" fontId="3" fillId="25" borderId="0" xfId="0" applyFont="1" applyFill="1" applyProtection="1"/>
    <xf numFmtId="175" fontId="11" fillId="40" borderId="0" xfId="38" applyNumberFormat="1" applyFont="1" applyFill="1" applyAlignment="1" applyProtection="1">
      <alignment horizontal="center" vertical="center"/>
    </xf>
    <xf numFmtId="0" fontId="3" fillId="20" borderId="0" xfId="37" applyFont="1" applyFill="1" applyAlignment="1" applyProtection="1">
      <alignment horizontal="center"/>
    </xf>
    <xf numFmtId="1" fontId="5" fillId="20" borderId="0" xfId="37" applyNumberFormat="1" applyFont="1" applyFill="1" applyAlignment="1" applyProtection="1">
      <alignment horizontal="center"/>
    </xf>
    <xf numFmtId="9" fontId="5" fillId="20" borderId="0" xfId="33" applyFont="1" applyFill="1" applyAlignment="1" applyProtection="1">
      <alignment horizontal="center"/>
    </xf>
    <xf numFmtId="0" fontId="4" fillId="2" borderId="5" xfId="37" applyFont="1" applyFill="1" applyBorder="1" applyAlignment="1" applyProtection="1">
      <alignment horizontal="center"/>
    </xf>
    <xf numFmtId="0" fontId="3" fillId="2" borderId="5" xfId="37" applyFill="1" applyBorder="1" applyAlignment="1" applyProtection="1">
      <alignment horizontal="center"/>
    </xf>
    <xf numFmtId="0" fontId="44" fillId="2" borderId="5" xfId="37" applyFont="1" applyFill="1" applyBorder="1" applyAlignment="1" applyProtection="1">
      <alignment horizontal="center"/>
    </xf>
    <xf numFmtId="9" fontId="42" fillId="2" borderId="5" xfId="37" applyNumberFormat="1" applyFont="1" applyFill="1" applyBorder="1" applyAlignment="1" applyProtection="1">
      <alignment horizontal="center"/>
    </xf>
    <xf numFmtId="0" fontId="42" fillId="2" borderId="5" xfId="37" applyFont="1" applyFill="1" applyBorder="1" applyAlignment="1" applyProtection="1">
      <alignment horizontal="center"/>
    </xf>
    <xf numFmtId="1" fontId="3" fillId="2" borderId="5" xfId="37" applyNumberFormat="1" applyFill="1" applyBorder="1" applyAlignment="1" applyProtection="1">
      <alignment horizontal="center"/>
    </xf>
    <xf numFmtId="1" fontId="3" fillId="3" borderId="5" xfId="37" applyNumberFormat="1" applyFill="1" applyBorder="1" applyAlignment="1" applyProtection="1">
      <alignment horizontal="center"/>
    </xf>
    <xf numFmtId="1" fontId="3" fillId="17" borderId="5" xfId="37" applyNumberFormat="1" applyFill="1" applyBorder="1" applyAlignment="1" applyProtection="1">
      <alignment horizontal="center"/>
    </xf>
    <xf numFmtId="0" fontId="0" fillId="18" borderId="0" xfId="0" applyFill="1" applyProtection="1"/>
    <xf numFmtId="0" fontId="4" fillId="2" borderId="0" xfId="37" applyFont="1" applyFill="1" applyBorder="1" applyAlignment="1" applyProtection="1">
      <alignment horizontal="center"/>
    </xf>
    <xf numFmtId="0" fontId="44" fillId="2" borderId="0" xfId="37" applyFont="1" applyFill="1" applyBorder="1" applyAlignment="1" applyProtection="1">
      <alignment horizontal="center"/>
    </xf>
    <xf numFmtId="0" fontId="3" fillId="2" borderId="0" xfId="37" applyFill="1" applyBorder="1" applyAlignment="1" applyProtection="1">
      <alignment horizontal="center"/>
    </xf>
    <xf numFmtId="1" fontId="3" fillId="2" borderId="0" xfId="37" applyNumberFormat="1" applyFill="1" applyBorder="1" applyAlignment="1" applyProtection="1">
      <alignment horizontal="center"/>
    </xf>
    <xf numFmtId="1" fontId="3" fillId="5" borderId="0" xfId="37" applyNumberFormat="1" applyFill="1" applyBorder="1" applyAlignment="1" applyProtection="1">
      <alignment horizontal="center"/>
    </xf>
    <xf numFmtId="1" fontId="3" fillId="7" borderId="0" xfId="37" applyNumberFormat="1" applyFill="1" applyBorder="1" applyAlignment="1" applyProtection="1">
      <alignment horizontal="center"/>
    </xf>
    <xf numFmtId="1" fontId="3" fillId="17" borderId="0" xfId="37" applyNumberFormat="1" applyFill="1" applyBorder="1" applyAlignment="1" applyProtection="1">
      <alignment horizontal="center"/>
    </xf>
    <xf numFmtId="175" fontId="11" fillId="2" borderId="0" xfId="38" applyNumberFormat="1" applyFont="1" applyFill="1" applyAlignment="1" applyProtection="1">
      <alignment horizontal="center" vertical="center"/>
    </xf>
    <xf numFmtId="0" fontId="3" fillId="9" borderId="0" xfId="37" applyFont="1" applyFill="1" applyAlignment="1" applyProtection="1">
      <alignment horizontal="left"/>
    </xf>
    <xf numFmtId="0" fontId="3" fillId="9" borderId="0" xfId="37" applyFill="1" applyAlignment="1" applyProtection="1">
      <alignment horizontal="center"/>
    </xf>
    <xf numFmtId="0" fontId="42" fillId="9" borderId="0" xfId="37" applyFont="1" applyFill="1" applyAlignment="1" applyProtection="1">
      <alignment horizontal="center"/>
    </xf>
    <xf numFmtId="0" fontId="0" fillId="11" borderId="0" xfId="0" applyFill="1" applyAlignment="1" applyProtection="1">
      <alignment horizontal="right"/>
    </xf>
    <xf numFmtId="186" fontId="6" fillId="11" borderId="0" xfId="0" applyNumberFormat="1" applyFont="1" applyFill="1" applyAlignment="1" applyProtection="1">
      <alignment horizontal="center" vertical="center"/>
    </xf>
    <xf numFmtId="0" fontId="0" fillId="18" borderId="0" xfId="0" applyFill="1" applyAlignment="1" applyProtection="1"/>
    <xf numFmtId="0" fontId="3" fillId="2" borderId="0" xfId="37" applyFont="1" applyFill="1" applyProtection="1"/>
    <xf numFmtId="0" fontId="3" fillId="11" borderId="0" xfId="37" applyFill="1" applyProtection="1"/>
    <xf numFmtId="172" fontId="3" fillId="34" borderId="0" xfId="11" applyNumberFormat="1" applyFill="1" applyProtection="1"/>
    <xf numFmtId="172" fontId="3" fillId="11" borderId="0" xfId="11" applyNumberFormat="1" applyFill="1" applyProtection="1"/>
    <xf numFmtId="172" fontId="3" fillId="9" borderId="0" xfId="11" applyNumberFormat="1" applyFill="1" applyProtection="1"/>
    <xf numFmtId="186" fontId="3" fillId="34" borderId="0" xfId="37" applyNumberFormat="1" applyFill="1" applyProtection="1"/>
    <xf numFmtId="186" fontId="3" fillId="11" borderId="0" xfId="37" applyNumberFormat="1" applyFill="1" applyProtection="1"/>
    <xf numFmtId="0" fontId="51" fillId="22" borderId="0" xfId="37" applyFont="1" applyFill="1" applyProtection="1"/>
    <xf numFmtId="0" fontId="42" fillId="0" borderId="0" xfId="0" applyFont="1" applyProtection="1"/>
    <xf numFmtId="0" fontId="51" fillId="30" borderId="0" xfId="37" applyFont="1" applyFill="1" applyProtection="1"/>
    <xf numFmtId="0" fontId="3" fillId="21" borderId="0" xfId="37" applyFont="1" applyFill="1" applyAlignment="1" applyProtection="1">
      <alignment horizontal="left"/>
    </xf>
    <xf numFmtId="0" fontId="0" fillId="9" borderId="0" xfId="0" applyFill="1" applyAlignment="1" applyProtection="1">
      <alignment horizontal="left"/>
    </xf>
    <xf numFmtId="0" fontId="3" fillId="51" borderId="0" xfId="0" applyFont="1" applyFill="1" applyProtection="1"/>
    <xf numFmtId="172" fontId="0" fillId="0" borderId="0" xfId="0" applyNumberFormat="1" applyProtection="1">
      <protection locked="0"/>
    </xf>
    <xf numFmtId="11" fontId="0" fillId="0" borderId="0" xfId="0" applyNumberFormat="1" applyProtection="1">
      <protection locked="0"/>
    </xf>
    <xf numFmtId="206" fontId="0" fillId="0" borderId="0" xfId="33" applyNumberFormat="1" applyFont="1" applyProtection="1">
      <protection locked="0"/>
    </xf>
    <xf numFmtId="172" fontId="0" fillId="0" borderId="0" xfId="11" applyNumberFormat="1" applyFont="1" applyProtection="1">
      <protection locked="0"/>
    </xf>
    <xf numFmtId="0" fontId="0" fillId="0" borderId="0" xfId="0" applyAlignment="1">
      <alignment horizontal="center" vertical="center" textRotation="90" wrapText="1"/>
    </xf>
    <xf numFmtId="9" fontId="0" fillId="0" borderId="0" xfId="33" applyFont="1" applyFill="1"/>
    <xf numFmtId="172" fontId="5" fillId="29" borderId="0" xfId="11" applyNumberFormat="1" applyFont="1" applyFill="1" applyAlignment="1" applyProtection="1">
      <alignment vertical="center"/>
      <protection locked="0"/>
    </xf>
    <xf numFmtId="0" fontId="70" fillId="0" borderId="0" xfId="0" applyFont="1"/>
    <xf numFmtId="207" fontId="0" fillId="0" borderId="0" xfId="0" applyNumberFormat="1" applyFont="1" applyFill="1" applyAlignment="1">
      <alignment vertical="center"/>
    </xf>
    <xf numFmtId="207" fontId="0" fillId="20" borderId="0" xfId="0" applyNumberFormat="1" applyFont="1" applyFill="1" applyAlignment="1">
      <alignment vertical="center"/>
    </xf>
    <xf numFmtId="164" fontId="5" fillId="32" borderId="0" xfId="11" applyFont="1" applyFill="1" applyAlignment="1" applyProtection="1">
      <alignment vertical="center"/>
      <protection locked="0"/>
    </xf>
    <xf numFmtId="164" fontId="0" fillId="32" borderId="0" xfId="11" applyFont="1" applyFill="1"/>
    <xf numFmtId="164" fontId="3" fillId="32" borderId="0" xfId="11" applyFont="1" applyFill="1" applyAlignment="1">
      <alignment horizontal="center"/>
    </xf>
    <xf numFmtId="173" fontId="0" fillId="0" borderId="0" xfId="0" applyNumberFormat="1"/>
    <xf numFmtId="208" fontId="0" fillId="20" borderId="0" xfId="0" applyNumberFormat="1" applyFont="1" applyFill="1" applyAlignment="1">
      <alignment vertical="center"/>
    </xf>
    <xf numFmtId="0" fontId="3" fillId="22" borderId="0" xfId="0" applyFont="1" applyFill="1"/>
    <xf numFmtId="0" fontId="3" fillId="22" borderId="0" xfId="0" applyFont="1" applyFill="1" applyAlignment="1">
      <alignment horizontal="center"/>
    </xf>
    <xf numFmtId="208" fontId="0" fillId="22" borderId="0" xfId="0" applyNumberFormat="1" applyFont="1" applyFill="1" applyAlignment="1">
      <alignment vertical="center"/>
    </xf>
    <xf numFmtId="207" fontId="0" fillId="22" borderId="0" xfId="0" applyNumberFormat="1" applyFont="1" applyFill="1" applyAlignment="1">
      <alignment vertical="center"/>
    </xf>
    <xf numFmtId="0" fontId="9" fillId="31" borderId="0" xfId="0" applyFont="1" applyFill="1" applyAlignment="1">
      <alignment vertical="center"/>
    </xf>
    <xf numFmtId="0" fontId="0" fillId="31" borderId="0" xfId="0" applyFill="1" applyAlignment="1">
      <alignment vertical="center"/>
    </xf>
    <xf numFmtId="0" fontId="9" fillId="0" borderId="0" xfId="0" applyFont="1" applyAlignment="1">
      <alignment vertical="center"/>
    </xf>
    <xf numFmtId="0" fontId="4" fillId="52" borderId="14" xfId="0" applyFont="1" applyFill="1" applyBorder="1" applyAlignment="1">
      <alignment vertical="center" wrapText="1"/>
    </xf>
    <xf numFmtId="0" fontId="4" fillId="0" borderId="21" xfId="0" applyFont="1" applyBorder="1" applyAlignment="1">
      <alignment vertical="center" wrapText="1"/>
    </xf>
    <xf numFmtId="0" fontId="4" fillId="0" borderId="22" xfId="0" applyFont="1"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4" fillId="52" borderId="18" xfId="0" applyFont="1" applyFill="1" applyBorder="1" applyAlignment="1">
      <alignment vertical="center" wrapText="1"/>
    </xf>
    <xf numFmtId="0" fontId="0" fillId="0" borderId="29" xfId="0" applyBorder="1" applyAlignment="1">
      <alignment vertical="center" wrapText="1"/>
    </xf>
    <xf numFmtId="0" fontId="0" fillId="0" borderId="30"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52" borderId="31" xfId="0" applyFill="1" applyBorder="1" applyAlignment="1">
      <alignment vertical="center" wrapText="1"/>
    </xf>
    <xf numFmtId="0" fontId="0" fillId="52" borderId="32" xfId="0" applyFill="1" applyBorder="1" applyAlignment="1">
      <alignment vertical="center" wrapText="1"/>
    </xf>
    <xf numFmtId="0" fontId="3" fillId="52" borderId="32" xfId="0" applyFont="1" applyFill="1" applyBorder="1" applyAlignment="1">
      <alignment vertical="center" wrapText="1"/>
    </xf>
    <xf numFmtId="0" fontId="3" fillId="52" borderId="33" xfId="0" applyFont="1" applyFill="1" applyBorder="1" applyAlignment="1">
      <alignment vertical="center" wrapText="1"/>
    </xf>
    <xf numFmtId="0" fontId="0" fillId="52" borderId="34" xfId="0" applyFill="1" applyBorder="1" applyAlignment="1">
      <alignment vertical="center" wrapText="1"/>
    </xf>
    <xf numFmtId="0" fontId="3" fillId="52" borderId="34" xfId="0" applyFont="1" applyFill="1" applyBorder="1" applyAlignment="1">
      <alignment vertical="center" wrapText="1"/>
    </xf>
    <xf numFmtId="0" fontId="3" fillId="0" borderId="0" xfId="0" applyFont="1" applyAlignment="1">
      <alignment horizontal="center" vertical="center" wrapText="1"/>
    </xf>
    <xf numFmtId="0" fontId="3" fillId="50" borderId="0" xfId="37" applyFont="1" applyFill="1" applyAlignment="1" applyProtection="1">
      <alignment horizontal="center"/>
    </xf>
    <xf numFmtId="207" fontId="5" fillId="29" borderId="0" xfId="11" applyNumberFormat="1" applyFont="1" applyFill="1" applyAlignment="1" applyProtection="1">
      <alignment vertical="center"/>
      <protection locked="0"/>
    </xf>
    <xf numFmtId="203" fontId="5" fillId="29" borderId="0" xfId="11" applyNumberFormat="1" applyFont="1" applyFill="1" applyAlignment="1" applyProtection="1">
      <alignment vertical="center"/>
      <protection locked="0"/>
    </xf>
    <xf numFmtId="208" fontId="5" fillId="22" borderId="0" xfId="11" applyNumberFormat="1" applyFont="1" applyFill="1" applyAlignment="1" applyProtection="1">
      <alignment vertical="center"/>
      <protection locked="0"/>
    </xf>
    <xf numFmtId="0" fontId="3" fillId="0" borderId="0" xfId="0" applyFont="1" applyFill="1" applyBorder="1" applyAlignment="1" applyProtection="1">
      <alignment vertical="center"/>
    </xf>
    <xf numFmtId="0" fontId="3" fillId="0" borderId="0" xfId="0" applyFont="1" applyFill="1" applyBorder="1" applyAlignment="1" applyProtection="1">
      <alignment horizontal="left" vertical="center"/>
    </xf>
    <xf numFmtId="0" fontId="22" fillId="29" borderId="0" xfId="37" applyFont="1" applyFill="1" applyBorder="1" applyAlignment="1" applyProtection="1">
      <alignment horizontal="center" vertical="center"/>
    </xf>
    <xf numFmtId="0" fontId="41" fillId="15" borderId="0" xfId="0" applyFont="1" applyFill="1" applyBorder="1" applyAlignment="1" applyProtection="1">
      <alignment horizontal="center" wrapText="1"/>
    </xf>
    <xf numFmtId="9" fontId="42" fillId="2" borderId="0" xfId="37" applyNumberFormat="1" applyFont="1" applyFill="1" applyBorder="1" applyAlignment="1" applyProtection="1">
      <alignment horizontal="center"/>
    </xf>
    <xf numFmtId="0" fontId="42" fillId="2" borderId="0" xfId="37" applyFont="1" applyFill="1" applyBorder="1" applyAlignment="1" applyProtection="1">
      <alignment horizontal="center"/>
    </xf>
    <xf numFmtId="1" fontId="3" fillId="3" borderId="0" xfId="37" applyNumberFormat="1" applyFill="1" applyBorder="1" applyAlignment="1" applyProtection="1">
      <alignment horizontal="center"/>
    </xf>
    <xf numFmtId="190" fontId="5" fillId="31" borderId="13" xfId="40" applyFill="1" applyBorder="1" applyProtection="1">
      <alignment vertical="center"/>
    </xf>
    <xf numFmtId="191" fontId="5" fillId="31" borderId="13" xfId="43" applyFill="1" applyBorder="1" applyProtection="1">
      <alignment horizontal="right" vertical="center"/>
    </xf>
    <xf numFmtId="172" fontId="3" fillId="31" borderId="13" xfId="11" applyNumberFormat="1" applyFill="1" applyBorder="1" applyAlignment="1" applyProtection="1">
      <alignment horizontal="right"/>
    </xf>
    <xf numFmtId="172" fontId="4" fillId="31" borderId="13" xfId="11" applyNumberFormat="1" applyFont="1" applyFill="1" applyBorder="1" applyAlignment="1" applyProtection="1">
      <alignment horizontal="center"/>
    </xf>
    <xf numFmtId="190" fontId="3" fillId="33" borderId="0" xfId="0" applyNumberFormat="1" applyFont="1" applyFill="1" applyAlignment="1" applyProtection="1">
      <alignment horizontal="right" vertical="center"/>
      <protection locked="0"/>
    </xf>
    <xf numFmtId="190" fontId="3" fillId="33" borderId="0" xfId="57" applyFill="1" applyProtection="1">
      <alignment vertical="center"/>
      <protection locked="0"/>
    </xf>
    <xf numFmtId="200" fontId="5" fillId="33" borderId="0" xfId="5" applyNumberFormat="1" applyFont="1" applyFill="1" applyProtection="1">
      <alignment vertical="center"/>
      <protection locked="0"/>
    </xf>
    <xf numFmtId="190" fontId="5" fillId="33" borderId="0" xfId="40" applyFill="1" applyProtection="1">
      <alignment vertical="center"/>
      <protection locked="0"/>
    </xf>
    <xf numFmtId="0" fontId="0" fillId="33" borderId="0" xfId="0" applyFill="1" applyProtection="1">
      <protection locked="0"/>
    </xf>
    <xf numFmtId="9" fontId="3" fillId="33" borderId="0" xfId="63" applyFont="1" applyFill="1" applyAlignment="1" applyProtection="1">
      <alignment horizontal="center" wrapText="1"/>
      <protection locked="0"/>
    </xf>
    <xf numFmtId="0" fontId="3" fillId="2" borderId="0" xfId="38" applyFont="1" applyFill="1" applyBorder="1" applyAlignment="1" applyProtection="1">
      <alignment vertical="center"/>
    </xf>
    <xf numFmtId="0" fontId="3" fillId="2" borderId="0" xfId="38" applyFont="1" applyFill="1" applyAlignment="1" applyProtection="1">
      <alignment vertical="center"/>
    </xf>
    <xf numFmtId="0" fontId="3" fillId="19" borderId="0" xfId="38" applyFont="1" applyFill="1" applyAlignment="1" applyProtection="1">
      <alignment vertical="center"/>
    </xf>
    <xf numFmtId="9" fontId="3" fillId="19" borderId="0" xfId="38" applyNumberFormat="1" applyFont="1" applyFill="1" applyAlignment="1" applyProtection="1">
      <alignment vertical="center"/>
    </xf>
    <xf numFmtId="9" fontId="3" fillId="19" borderId="0" xfId="33" applyFont="1" applyFill="1" applyBorder="1" applyAlignment="1" applyProtection="1">
      <alignment horizontal="center" vertical="center"/>
    </xf>
    <xf numFmtId="0" fontId="3" fillId="0" borderId="0" xfId="38" applyFont="1" applyAlignment="1" applyProtection="1">
      <alignment vertical="center"/>
    </xf>
    <xf numFmtId="172" fontId="3" fillId="0" borderId="0" xfId="0" applyNumberFormat="1" applyFont="1" applyFill="1" applyAlignment="1" applyProtection="1">
      <alignment horizontal="left"/>
    </xf>
    <xf numFmtId="166" fontId="3" fillId="0" borderId="0" xfId="25" applyFont="1" applyFill="1" applyProtection="1">
      <alignment vertical="center"/>
    </xf>
    <xf numFmtId="166" fontId="3" fillId="33" borderId="0" xfId="62" applyFill="1" applyProtection="1">
      <alignment vertical="center"/>
      <protection locked="0"/>
    </xf>
    <xf numFmtId="168" fontId="3" fillId="33" borderId="36" xfId="53" applyFill="1" applyBorder="1" applyProtection="1">
      <alignment vertical="center"/>
      <protection locked="0"/>
    </xf>
    <xf numFmtId="195" fontId="3" fillId="33" borderId="0" xfId="53" applyNumberFormat="1" applyFill="1" applyProtection="1">
      <alignment vertical="center"/>
      <protection locked="0"/>
    </xf>
    <xf numFmtId="9" fontId="5" fillId="33" borderId="0" xfId="33" applyFont="1" applyFill="1" applyAlignment="1" applyProtection="1">
      <alignment horizontal="right" vertical="center"/>
      <protection locked="0"/>
    </xf>
    <xf numFmtId="168" fontId="3" fillId="33" borderId="35" xfId="53" applyFill="1" applyBorder="1" applyProtection="1">
      <alignment vertical="center"/>
      <protection locked="0"/>
    </xf>
    <xf numFmtId="9" fontId="3" fillId="2" borderId="0" xfId="33" applyFont="1" applyFill="1" applyBorder="1" applyAlignment="1" applyProtection="1">
      <alignment horizontal="center" vertical="center"/>
    </xf>
    <xf numFmtId="0" fontId="5" fillId="53" borderId="0" xfId="0" applyFont="1" applyFill="1" applyAlignment="1" applyProtection="1">
      <alignment vertical="center"/>
    </xf>
    <xf numFmtId="0" fontId="3" fillId="53" borderId="0" xfId="0" applyFont="1" applyFill="1" applyAlignment="1" applyProtection="1">
      <alignment vertical="center"/>
    </xf>
    <xf numFmtId="11" fontId="3" fillId="53" borderId="0" xfId="0" applyNumberFormat="1" applyFont="1" applyFill="1" applyBorder="1" applyAlignment="1" applyProtection="1">
      <alignment horizontal="left" vertical="center"/>
    </xf>
    <xf numFmtId="11" fontId="3" fillId="53" borderId="0" xfId="0" applyNumberFormat="1" applyFont="1" applyFill="1" applyBorder="1" applyAlignment="1" applyProtection="1">
      <alignment vertical="center"/>
    </xf>
    <xf numFmtId="0" fontId="3" fillId="53" borderId="0" xfId="0" applyFont="1" applyFill="1" applyBorder="1" applyAlignment="1" applyProtection="1">
      <alignment vertical="center"/>
    </xf>
    <xf numFmtId="0" fontId="5" fillId="53" borderId="8" xfId="0" applyNumberFormat="1" applyFont="1" applyFill="1" applyBorder="1" applyAlignment="1" applyProtection="1">
      <alignment horizontal="left" vertical="center"/>
    </xf>
    <xf numFmtId="9" fontId="5" fillId="53" borderId="0" xfId="33" applyFont="1" applyFill="1" applyBorder="1" applyAlignment="1" applyProtection="1">
      <alignment horizontal="center" vertical="center"/>
    </xf>
    <xf numFmtId="0" fontId="5" fillId="53" borderId="0" xfId="0" applyNumberFormat="1" applyFont="1" applyFill="1" applyBorder="1" applyAlignment="1" applyProtection="1">
      <alignment horizontal="left" vertical="center"/>
    </xf>
    <xf numFmtId="0" fontId="5" fillId="53" borderId="0" xfId="0" applyFont="1" applyFill="1" applyAlignment="1" applyProtection="1">
      <alignment horizontal="left" vertical="center"/>
    </xf>
    <xf numFmtId="0" fontId="5" fillId="53" borderId="0" xfId="0" quotePrefix="1" applyFont="1" applyFill="1" applyAlignment="1" applyProtection="1">
      <alignment vertical="center"/>
    </xf>
    <xf numFmtId="0" fontId="3" fillId="53" borderId="0" xfId="0" applyFont="1" applyFill="1" applyBorder="1" applyAlignment="1" applyProtection="1">
      <alignment horizontal="left" vertical="center"/>
    </xf>
    <xf numFmtId="0" fontId="3" fillId="53" borderId="0" xfId="0" applyFont="1" applyFill="1" applyBorder="1" applyAlignment="1" applyProtection="1">
      <alignment horizontal="center" vertical="center"/>
    </xf>
    <xf numFmtId="191" fontId="5" fillId="53" borderId="13" xfId="43" applyFont="1" applyFill="1" applyBorder="1" applyProtection="1">
      <alignment horizontal="right" vertical="center"/>
    </xf>
    <xf numFmtId="0" fontId="3" fillId="53" borderId="0" xfId="0" quotePrefix="1" applyFont="1" applyFill="1" applyBorder="1" applyAlignment="1" applyProtection="1">
      <alignment horizontal="left" vertical="center"/>
    </xf>
    <xf numFmtId="190" fontId="5" fillId="53" borderId="0" xfId="0" applyNumberFormat="1" applyFont="1" applyFill="1" applyBorder="1" applyAlignment="1" applyProtection="1">
      <alignment horizontal="right" vertical="center"/>
    </xf>
    <xf numFmtId="191" fontId="3" fillId="53" borderId="0" xfId="66" applyFont="1" applyFill="1" applyAlignment="1" applyProtection="1">
      <alignment horizontal="left" vertical="center"/>
    </xf>
    <xf numFmtId="168" fontId="5" fillId="53" borderId="0" xfId="0" applyNumberFormat="1" applyFont="1" applyFill="1" applyBorder="1" applyAlignment="1" applyProtection="1">
      <alignment horizontal="center" vertical="center"/>
    </xf>
    <xf numFmtId="168" fontId="4" fillId="53" borderId="5" xfId="0" applyNumberFormat="1" applyFont="1" applyFill="1" applyBorder="1" applyAlignment="1" applyProtection="1">
      <alignment horizontal="right" vertical="center"/>
    </xf>
    <xf numFmtId="0" fontId="3" fillId="53" borderId="0" xfId="0" quotePrefix="1" applyFont="1" applyFill="1" applyAlignment="1" applyProtection="1">
      <alignment horizontal="left" vertical="center"/>
    </xf>
    <xf numFmtId="0" fontId="3" fillId="53" borderId="0" xfId="0" quotePrefix="1" applyFont="1" applyFill="1" applyBorder="1" applyAlignment="1" applyProtection="1">
      <alignment vertical="center"/>
    </xf>
    <xf numFmtId="168" fontId="4" fillId="53" borderId="13" xfId="0" applyNumberFormat="1" applyFont="1" applyFill="1" applyBorder="1" applyAlignment="1" applyProtection="1">
      <alignment horizontal="right" vertical="center"/>
    </xf>
    <xf numFmtId="0" fontId="5" fillId="53" borderId="0" xfId="0" applyFont="1" applyFill="1" applyBorder="1" applyAlignment="1" applyProtection="1">
      <alignment horizontal="center" vertical="center"/>
    </xf>
    <xf numFmtId="168" fontId="4" fillId="53" borderId="5" xfId="20" applyFont="1" applyFill="1" applyBorder="1" applyAlignment="1" applyProtection="1">
      <alignment vertical="center"/>
    </xf>
    <xf numFmtId="0" fontId="3" fillId="53" borderId="0" xfId="0" quotePrefix="1" applyFont="1" applyFill="1" applyAlignment="1" applyProtection="1">
      <alignment vertical="center"/>
    </xf>
    <xf numFmtId="172" fontId="5" fillId="53" borderId="0" xfId="11" applyNumberFormat="1" applyFont="1" applyFill="1" applyAlignment="1" applyProtection="1">
      <alignment vertical="center"/>
    </xf>
    <xf numFmtId="165" fontId="3" fillId="53" borderId="0" xfId="33" applyNumberFormat="1" applyFont="1" applyFill="1" applyBorder="1" applyAlignment="1" applyProtection="1">
      <alignment horizontal="center" vertical="center"/>
    </xf>
    <xf numFmtId="9" fontId="5" fillId="53" borderId="0" xfId="33" applyFont="1" applyFill="1" applyBorder="1" applyAlignment="1" applyProtection="1">
      <alignment horizontal="right" vertical="center"/>
    </xf>
    <xf numFmtId="168" fontId="4" fillId="53" borderId="0" xfId="20" applyFont="1" applyFill="1" applyProtection="1">
      <alignment vertical="center"/>
    </xf>
    <xf numFmtId="168" fontId="4" fillId="53" borderId="0" xfId="20" applyFont="1" applyFill="1" applyBorder="1" applyProtection="1">
      <alignment vertical="center"/>
    </xf>
    <xf numFmtId="190" fontId="4" fillId="53" borderId="8" xfId="40" applyFont="1" applyFill="1" applyBorder="1" applyProtection="1">
      <alignment vertical="center"/>
    </xf>
    <xf numFmtId="191" fontId="5" fillId="53" borderId="0" xfId="43" applyFont="1" applyFill="1" applyProtection="1">
      <alignment horizontal="right" vertical="center"/>
    </xf>
    <xf numFmtId="0" fontId="5" fillId="53" borderId="0" xfId="0" applyFont="1" applyFill="1" applyBorder="1" applyAlignment="1" applyProtection="1">
      <alignment vertical="center"/>
    </xf>
    <xf numFmtId="0" fontId="12" fillId="53" borderId="0" xfId="17" applyFont="1" applyFill="1" applyAlignment="1" applyProtection="1">
      <alignment vertical="center"/>
    </xf>
    <xf numFmtId="190" fontId="5" fillId="53" borderId="0" xfId="40" applyFont="1" applyFill="1" applyProtection="1">
      <alignment vertical="center"/>
    </xf>
    <xf numFmtId="200" fontId="3" fillId="53" borderId="0" xfId="5" applyNumberFormat="1" applyFont="1" applyFill="1" applyProtection="1">
      <alignment vertical="center"/>
    </xf>
    <xf numFmtId="200" fontId="5" fillId="53" borderId="0" xfId="5" applyNumberFormat="1" applyFont="1" applyFill="1" applyProtection="1">
      <alignment vertical="center"/>
    </xf>
    <xf numFmtId="0" fontId="3" fillId="53" borderId="0" xfId="0" applyNumberFormat="1" applyFont="1" applyFill="1" applyBorder="1" applyAlignment="1" applyProtection="1">
      <alignment horizontal="left" vertical="center"/>
    </xf>
    <xf numFmtId="0" fontId="5" fillId="53" borderId="0" xfId="0" applyFont="1" applyFill="1" applyBorder="1" applyAlignment="1" applyProtection="1">
      <alignment horizontal="right" vertical="center"/>
    </xf>
    <xf numFmtId="0" fontId="4" fillId="53" borderId="0" xfId="0" applyFont="1" applyFill="1" applyAlignment="1" applyProtection="1">
      <alignment vertical="center"/>
    </xf>
    <xf numFmtId="168" fontId="3" fillId="33" borderId="37" xfId="53" applyFill="1" applyBorder="1" applyProtection="1">
      <alignment vertical="center"/>
      <protection locked="0"/>
    </xf>
    <xf numFmtId="166" fontId="3" fillId="33" borderId="38" xfId="62" applyFill="1" applyBorder="1" applyProtection="1">
      <alignment vertical="center"/>
      <protection locked="0"/>
    </xf>
    <xf numFmtId="168" fontId="3" fillId="33" borderId="38" xfId="53" applyFill="1" applyBorder="1" applyProtection="1">
      <alignment vertical="center"/>
      <protection locked="0"/>
    </xf>
    <xf numFmtId="168" fontId="3" fillId="33" borderId="39" xfId="53" applyFill="1" applyBorder="1" applyProtection="1">
      <alignment vertical="center"/>
      <protection locked="0"/>
    </xf>
    <xf numFmtId="0" fontId="3" fillId="33" borderId="38" xfId="0" applyFont="1" applyFill="1" applyBorder="1" applyAlignment="1" applyProtection="1">
      <alignment vertical="center"/>
      <protection locked="0"/>
    </xf>
    <xf numFmtId="0" fontId="4" fillId="33" borderId="37" xfId="0" applyFont="1" applyFill="1" applyBorder="1" applyAlignment="1" applyProtection="1">
      <alignment horizontal="left" vertical="center"/>
      <protection locked="0"/>
    </xf>
    <xf numFmtId="0" fontId="3" fillId="33" borderId="38" xfId="0" applyFont="1" applyFill="1" applyBorder="1" applyAlignment="1" applyProtection="1">
      <alignment horizontal="left" vertical="center"/>
      <protection locked="0"/>
    </xf>
    <xf numFmtId="0" fontId="3" fillId="33" borderId="37" xfId="0" applyFont="1" applyFill="1" applyBorder="1" applyAlignment="1" applyProtection="1">
      <alignment horizontal="left" vertical="center"/>
      <protection locked="0"/>
    </xf>
    <xf numFmtId="0" fontId="12" fillId="53" borderId="0" xfId="17" applyFill="1" applyBorder="1" applyAlignment="1" applyProtection="1">
      <alignment vertical="center"/>
    </xf>
    <xf numFmtId="0" fontId="4" fillId="53" borderId="5" xfId="0" applyFont="1" applyFill="1" applyBorder="1" applyAlignment="1" applyProtection="1">
      <alignment vertical="center"/>
    </xf>
    <xf numFmtId="0" fontId="5" fillId="24" borderId="0" xfId="0" applyFont="1" applyFill="1" applyAlignment="1" applyProtection="1">
      <alignment vertical="center"/>
    </xf>
    <xf numFmtId="0" fontId="5" fillId="21" borderId="0" xfId="0" applyFont="1" applyFill="1" applyAlignment="1" applyProtection="1">
      <alignment vertical="center"/>
    </xf>
    <xf numFmtId="164" fontId="5" fillId="53" borderId="0" xfId="0" applyNumberFormat="1" applyFont="1" applyFill="1" applyAlignment="1" applyProtection="1">
      <alignment vertical="center"/>
    </xf>
    <xf numFmtId="11" fontId="5" fillId="53" borderId="0" xfId="0" applyNumberFormat="1" applyFont="1" applyFill="1" applyAlignment="1" applyProtection="1">
      <alignment horizontal="center" vertical="center"/>
    </xf>
    <xf numFmtId="11" fontId="5" fillId="24" borderId="0" xfId="0" applyNumberFormat="1" applyFont="1" applyFill="1" applyAlignment="1" applyProtection="1">
      <alignment horizontal="center" vertical="center"/>
    </xf>
    <xf numFmtId="11" fontId="5" fillId="25" borderId="0" xfId="0" applyNumberFormat="1" applyFont="1" applyFill="1" applyAlignment="1" applyProtection="1">
      <alignment horizontal="center" vertical="center"/>
    </xf>
    <xf numFmtId="168" fontId="5" fillId="53" borderId="0" xfId="20" applyFont="1" applyFill="1" applyAlignment="1" applyProtection="1">
      <alignment vertical="center"/>
    </xf>
    <xf numFmtId="0" fontId="3" fillId="53" borderId="0" xfId="0" applyFont="1" applyFill="1" applyAlignment="1" applyProtection="1">
      <alignment horizontal="left" vertical="center"/>
    </xf>
    <xf numFmtId="167" fontId="3" fillId="33" borderId="38" xfId="61" applyFont="1" applyFill="1" applyBorder="1" applyProtection="1">
      <alignment vertical="center"/>
      <protection locked="0"/>
    </xf>
    <xf numFmtId="0" fontId="3" fillId="53" borderId="0" xfId="38" applyFill="1" applyAlignment="1" applyProtection="1">
      <alignment vertical="center"/>
    </xf>
    <xf numFmtId="0" fontId="4" fillId="53" borderId="0" xfId="38" applyFont="1" applyFill="1" applyBorder="1" applyAlignment="1" applyProtection="1">
      <alignment vertical="center"/>
    </xf>
    <xf numFmtId="0" fontId="3" fillId="53" borderId="0" xfId="38" applyFont="1" applyFill="1" applyAlignment="1" applyProtection="1">
      <alignment vertical="center"/>
    </xf>
    <xf numFmtId="0" fontId="4" fillId="53" borderId="0" xfId="38" applyFont="1" applyFill="1" applyBorder="1" applyAlignment="1" applyProtection="1">
      <alignment horizontal="right" vertical="center"/>
    </xf>
    <xf numFmtId="9" fontId="4" fillId="53" borderId="0" xfId="38" applyNumberFormat="1" applyFont="1" applyFill="1" applyBorder="1" applyAlignment="1" applyProtection="1">
      <alignment vertical="center"/>
    </xf>
    <xf numFmtId="0" fontId="3" fillId="53" borderId="0" xfId="37" applyFill="1" applyProtection="1"/>
    <xf numFmtId="170" fontId="3" fillId="53" borderId="0" xfId="37" applyNumberFormat="1" applyFill="1" applyBorder="1" applyAlignment="1" applyProtection="1">
      <alignment horizontal="center"/>
    </xf>
    <xf numFmtId="172" fontId="5" fillId="53" borderId="0" xfId="0" applyNumberFormat="1" applyFont="1" applyFill="1" applyAlignment="1" applyProtection="1">
      <alignment horizontal="left"/>
    </xf>
    <xf numFmtId="0" fontId="4" fillId="53" borderId="0" xfId="37" applyFont="1" applyFill="1" applyProtection="1"/>
    <xf numFmtId="170" fontId="3" fillId="53" borderId="0" xfId="37" applyNumberFormat="1" applyFill="1" applyBorder="1" applyProtection="1"/>
    <xf numFmtId="172" fontId="3" fillId="53" borderId="0" xfId="11" applyNumberFormat="1" applyFill="1" applyBorder="1" applyAlignment="1" applyProtection="1">
      <alignment horizontal="right"/>
    </xf>
    <xf numFmtId="1" fontId="4" fillId="53" borderId="0" xfId="37" applyNumberFormat="1" applyFont="1" applyFill="1" applyBorder="1" applyAlignment="1" applyProtection="1">
      <alignment horizontal="center"/>
    </xf>
    <xf numFmtId="172" fontId="3" fillId="53" borderId="0" xfId="11" applyNumberFormat="1" applyFill="1" applyAlignment="1" applyProtection="1">
      <alignment horizontal="right"/>
    </xf>
    <xf numFmtId="1" fontId="5" fillId="53" borderId="0" xfId="37" applyNumberFormat="1" applyFont="1" applyFill="1" applyAlignment="1" applyProtection="1">
      <alignment horizontal="center"/>
    </xf>
    <xf numFmtId="9" fontId="3" fillId="53" borderId="0" xfId="33" applyFill="1" applyBorder="1" applyAlignment="1" applyProtection="1">
      <alignment horizontal="center"/>
    </xf>
    <xf numFmtId="201" fontId="5" fillId="53" borderId="0" xfId="5" applyNumberFormat="1" applyFont="1" applyFill="1" applyAlignment="1" applyProtection="1">
      <alignment vertical="center"/>
    </xf>
    <xf numFmtId="172" fontId="3" fillId="53" borderId="0" xfId="0" applyNumberFormat="1" applyFont="1" applyFill="1" applyAlignment="1" applyProtection="1">
      <alignment horizontal="left"/>
    </xf>
    <xf numFmtId="167" fontId="5" fillId="53" borderId="0" xfId="19" applyFill="1" applyProtection="1">
      <alignment vertical="center"/>
    </xf>
    <xf numFmtId="165" fontId="3" fillId="53" borderId="0" xfId="37" applyNumberFormat="1" applyFill="1" applyProtection="1"/>
    <xf numFmtId="0" fontId="3" fillId="53" borderId="0" xfId="37" applyFont="1" applyFill="1" applyProtection="1"/>
    <xf numFmtId="0" fontId="5" fillId="53" borderId="0" xfId="37" applyFont="1" applyFill="1" applyProtection="1"/>
    <xf numFmtId="170" fontId="3" fillId="53" borderId="0" xfId="37" applyNumberFormat="1" applyFill="1" applyProtection="1"/>
    <xf numFmtId="172" fontId="3" fillId="53" borderId="0" xfId="37" applyNumberFormat="1" applyFill="1" applyProtection="1"/>
    <xf numFmtId="0" fontId="0" fillId="53" borderId="0" xfId="0" applyFill="1" applyProtection="1"/>
    <xf numFmtId="0" fontId="3" fillId="53" borderId="0" xfId="37" applyFont="1" applyFill="1" applyAlignment="1" applyProtection="1">
      <alignment horizontal="left" vertical="center"/>
    </xf>
    <xf numFmtId="0" fontId="3" fillId="53" borderId="0" xfId="37" applyFont="1" applyFill="1" applyAlignment="1" applyProtection="1">
      <alignment horizontal="center" vertical="center"/>
    </xf>
    <xf numFmtId="166" fontId="5" fillId="53" borderId="0" xfId="25" applyFill="1" applyProtection="1">
      <alignment vertical="center"/>
    </xf>
    <xf numFmtId="187" fontId="4" fillId="53" borderId="0" xfId="5" applyFont="1" applyFill="1" applyAlignment="1" applyProtection="1">
      <alignment vertical="center"/>
    </xf>
    <xf numFmtId="0" fontId="40" fillId="53" borderId="0" xfId="37" applyFont="1" applyFill="1" applyProtection="1"/>
    <xf numFmtId="172" fontId="40" fillId="53" borderId="0" xfId="11" applyNumberFormat="1" applyFont="1" applyFill="1" applyAlignment="1" applyProtection="1">
      <alignment horizontal="right"/>
    </xf>
    <xf numFmtId="166" fontId="3" fillId="53" borderId="0" xfId="25" applyFont="1" applyFill="1" applyProtection="1">
      <alignment vertical="center"/>
    </xf>
    <xf numFmtId="194" fontId="3" fillId="53" borderId="0" xfId="62" applyNumberFormat="1" applyFont="1" applyFill="1" applyAlignment="1" applyProtection="1">
      <alignment vertical="center"/>
    </xf>
    <xf numFmtId="164" fontId="3" fillId="53" borderId="0" xfId="11" applyFont="1" applyFill="1" applyAlignment="1" applyProtection="1">
      <alignment vertical="center"/>
    </xf>
    <xf numFmtId="167" fontId="3" fillId="33" borderId="0" xfId="61" applyFill="1" applyBorder="1">
      <alignment vertical="center"/>
      <protection locked="0"/>
    </xf>
    <xf numFmtId="0" fontId="4" fillId="53" borderId="0" xfId="37" applyFont="1" applyFill="1" applyAlignment="1" applyProtection="1">
      <alignment vertical="center"/>
    </xf>
    <xf numFmtId="0" fontId="3" fillId="53" borderId="0" xfId="37" applyFill="1" applyAlignment="1" applyProtection="1">
      <alignment horizontal="center" vertical="center"/>
    </xf>
    <xf numFmtId="172" fontId="3" fillId="53" borderId="0" xfId="11" applyNumberFormat="1" applyFont="1" applyFill="1" applyAlignment="1" applyProtection="1">
      <alignment vertical="center"/>
    </xf>
    <xf numFmtId="172" fontId="4" fillId="53" borderId="5" xfId="11" applyNumberFormat="1" applyFont="1" applyFill="1" applyBorder="1" applyAlignment="1" applyProtection="1">
      <alignment vertical="center"/>
    </xf>
    <xf numFmtId="172" fontId="3" fillId="53" borderId="13" xfId="11" applyNumberFormat="1" applyFont="1" applyFill="1" applyBorder="1" applyAlignment="1" applyProtection="1">
      <alignment vertical="center"/>
    </xf>
    <xf numFmtId="172" fontId="3" fillId="53" borderId="5" xfId="11" applyNumberFormat="1" applyFont="1" applyFill="1" applyBorder="1" applyAlignment="1" applyProtection="1">
      <alignment vertical="center"/>
    </xf>
    <xf numFmtId="190" fontId="5" fillId="53" borderId="39" xfId="40" applyFont="1" applyFill="1" applyBorder="1" applyProtection="1">
      <alignment vertical="center"/>
    </xf>
    <xf numFmtId="191" fontId="3" fillId="53" borderId="0" xfId="66" applyFont="1" applyFill="1" applyAlignment="1" applyProtection="1">
      <alignment horizontal="right" vertical="center"/>
    </xf>
    <xf numFmtId="11" fontId="5" fillId="36" borderId="0" xfId="0" applyNumberFormat="1" applyFont="1" applyFill="1" applyAlignment="1" applyProtection="1">
      <alignment horizontal="center" vertical="center"/>
    </xf>
    <xf numFmtId="165" fontId="3" fillId="33" borderId="36" xfId="33" applyNumberFormat="1" applyFill="1" applyBorder="1" applyAlignment="1" applyProtection="1">
      <alignment vertical="center"/>
      <protection locked="0"/>
    </xf>
    <xf numFmtId="0" fontId="3" fillId="54" borderId="0" xfId="0" applyFont="1" applyFill="1" applyProtection="1"/>
    <xf numFmtId="175" fontId="11" fillId="54" borderId="0" xfId="38" applyNumberFormat="1" applyFont="1" applyFill="1" applyAlignment="1" applyProtection="1">
      <alignment horizontal="center" vertical="center"/>
    </xf>
    <xf numFmtId="0" fontId="5" fillId="54" borderId="0" xfId="0" applyFont="1" applyFill="1" applyAlignment="1" applyProtection="1">
      <alignment vertical="center"/>
    </xf>
    <xf numFmtId="11" fontId="5" fillId="43" borderId="0" xfId="0" applyNumberFormat="1" applyFont="1" applyFill="1" applyAlignment="1" applyProtection="1">
      <alignment horizontal="center" vertical="center"/>
    </xf>
    <xf numFmtId="0" fontId="12" fillId="53" borderId="0" xfId="17" applyFill="1" applyAlignment="1" applyProtection="1">
      <alignment vertical="center"/>
    </xf>
    <xf numFmtId="11" fontId="0" fillId="0" borderId="0" xfId="0" applyNumberFormat="1" applyFill="1"/>
    <xf numFmtId="0" fontId="3" fillId="0" borderId="26" xfId="0" applyFont="1" applyBorder="1" applyAlignment="1">
      <alignment vertical="center" wrapText="1"/>
    </xf>
    <xf numFmtId="0" fontId="3" fillId="0" borderId="28" xfId="0" applyFont="1" applyBorder="1" applyAlignment="1">
      <alignment vertical="center" wrapText="1"/>
    </xf>
    <xf numFmtId="11" fontId="0" fillId="0" borderId="0" xfId="11" applyNumberFormat="1" applyFont="1" applyAlignment="1">
      <alignment wrapText="1"/>
    </xf>
    <xf numFmtId="164" fontId="5" fillId="21" borderId="0" xfId="11" applyFont="1" applyFill="1" applyAlignment="1" applyProtection="1">
      <alignment vertical="center"/>
    </xf>
    <xf numFmtId="172" fontId="5" fillId="21" borderId="0" xfId="11" applyNumberFormat="1" applyFont="1" applyFill="1" applyAlignment="1" applyProtection="1">
      <alignment vertical="center"/>
    </xf>
    <xf numFmtId="11" fontId="5" fillId="53" borderId="0" xfId="0" applyNumberFormat="1" applyFont="1" applyFill="1" applyAlignment="1" applyProtection="1">
      <alignment vertical="center"/>
    </xf>
    <xf numFmtId="0" fontId="3" fillId="0" borderId="0" xfId="37" applyFont="1" applyFill="1" applyAlignment="1" applyProtection="1"/>
    <xf numFmtId="0" fontId="3" fillId="0" borderId="0" xfId="38"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Border="1" applyAlignment="1" applyProtection="1"/>
    <xf numFmtId="0" fontId="3" fillId="0" borderId="0" xfId="0" applyFont="1" applyFill="1" applyAlignment="1" applyProtection="1"/>
    <xf numFmtId="0" fontId="7" fillId="0" borderId="0" xfId="51" applyFont="1" applyFill="1" applyBorder="1" applyProtection="1"/>
    <xf numFmtId="0" fontId="12" fillId="0" borderId="0" xfId="17" applyFont="1" applyFill="1" applyAlignment="1" applyProtection="1">
      <alignment horizontal="left" vertical="center"/>
    </xf>
    <xf numFmtId="0" fontId="55" fillId="0" borderId="0" xfId="37" applyFont="1" applyFill="1" applyProtection="1"/>
    <xf numFmtId="0" fontId="3" fillId="0" borderId="0" xfId="37" applyFont="1" applyFill="1" applyAlignment="1" applyProtection="1">
      <alignment horizontal="left"/>
    </xf>
    <xf numFmtId="0" fontId="3" fillId="0" borderId="0" xfId="38" applyFont="1" applyFill="1" applyBorder="1" applyAlignment="1" applyProtection="1">
      <alignment vertical="center"/>
    </xf>
    <xf numFmtId="0" fontId="55" fillId="0" borderId="0" xfId="0" applyFont="1" applyFill="1" applyProtection="1"/>
    <xf numFmtId="0" fontId="55" fillId="0" borderId="0" xfId="0" applyFont="1" applyFill="1" applyAlignment="1" applyProtection="1">
      <alignment vertical="center"/>
    </xf>
    <xf numFmtId="167" fontId="3" fillId="53" borderId="0" xfId="61" applyFill="1" applyBorder="1" applyProtection="1">
      <alignment vertical="center"/>
    </xf>
    <xf numFmtId="0" fontId="0" fillId="0" borderId="0" xfId="0" applyFill="1" applyAlignment="1">
      <alignment wrapText="1"/>
    </xf>
    <xf numFmtId="49" fontId="3" fillId="53" borderId="0" xfId="0" applyNumberFormat="1" applyFont="1" applyFill="1" applyBorder="1" applyAlignment="1" applyProtection="1">
      <alignment vertical="center"/>
    </xf>
    <xf numFmtId="0" fontId="3" fillId="53" borderId="0" xfId="86" applyFill="1" applyBorder="1" applyAlignment="1" applyProtection="1">
      <alignment vertical="center"/>
    </xf>
    <xf numFmtId="0" fontId="3" fillId="53" borderId="0" xfId="86" applyFill="1" applyAlignment="1" applyProtection="1">
      <alignment vertical="center"/>
    </xf>
    <xf numFmtId="0" fontId="3" fillId="53" borderId="0" xfId="86" applyFill="1" applyProtection="1"/>
    <xf numFmtId="0" fontId="71" fillId="53" borderId="0" xfId="86" applyFont="1" applyFill="1" applyAlignment="1" applyProtection="1">
      <alignment vertical="center"/>
    </xf>
    <xf numFmtId="0" fontId="8" fillId="53" borderId="0" xfId="86" applyFont="1" applyFill="1" applyAlignment="1" applyProtection="1">
      <alignment vertical="center"/>
    </xf>
    <xf numFmtId="0" fontId="3" fillId="53" borderId="0" xfId="86" applyFill="1" applyAlignment="1" applyProtection="1">
      <alignment horizontal="center" vertical="center"/>
    </xf>
    <xf numFmtId="0" fontId="3" fillId="53" borderId="0" xfId="86" applyFont="1" applyFill="1" applyBorder="1" applyAlignment="1" applyProtection="1">
      <alignment vertical="center"/>
    </xf>
    <xf numFmtId="0" fontId="9" fillId="31" borderId="13" xfId="86" applyFont="1" applyFill="1" applyBorder="1" applyAlignment="1" applyProtection="1">
      <alignment vertical="center"/>
    </xf>
    <xf numFmtId="0" fontId="3" fillId="31" borderId="13" xfId="86" applyFill="1" applyBorder="1" applyAlignment="1" applyProtection="1">
      <alignment horizontal="center" vertical="center"/>
    </xf>
    <xf numFmtId="0" fontId="9" fillId="53" borderId="0" xfId="86" applyFont="1" applyFill="1" applyAlignment="1" applyProtection="1">
      <alignment vertical="center"/>
    </xf>
    <xf numFmtId="0" fontId="3" fillId="53" borderId="0" xfId="86" applyFill="1" applyAlignment="1" applyProtection="1">
      <alignment horizontal="right" vertical="center"/>
    </xf>
    <xf numFmtId="172" fontId="3" fillId="53" borderId="0" xfId="86" applyNumberFormat="1" applyFill="1" applyAlignment="1" applyProtection="1">
      <alignment vertical="center"/>
    </xf>
    <xf numFmtId="0" fontId="3" fillId="53" borderId="0" xfId="86" quotePrefix="1" applyFill="1" applyBorder="1" applyAlignment="1" applyProtection="1">
      <alignment vertical="center"/>
    </xf>
    <xf numFmtId="0" fontId="3" fillId="53" borderId="13" xfId="86" applyFill="1" applyBorder="1" applyAlignment="1" applyProtection="1">
      <alignment vertical="center"/>
    </xf>
    <xf numFmtId="0" fontId="4" fillId="0" borderId="13" xfId="86" applyFont="1" applyBorder="1" applyAlignment="1" applyProtection="1">
      <alignment vertical="center" wrapText="1"/>
    </xf>
    <xf numFmtId="0" fontId="3" fillId="53" borderId="13" xfId="86" applyFill="1" applyBorder="1" applyAlignment="1" applyProtection="1">
      <alignment horizontal="center" vertical="center"/>
    </xf>
    <xf numFmtId="0" fontId="4" fillId="53" borderId="13" xfId="86" applyFont="1" applyFill="1" applyBorder="1" applyAlignment="1" applyProtection="1">
      <alignment horizontal="center" vertical="center" wrapText="1"/>
    </xf>
    <xf numFmtId="0" fontId="4" fillId="53" borderId="0" xfId="86" quotePrefix="1" applyFont="1" applyFill="1" applyAlignment="1" applyProtection="1">
      <alignment vertical="center" wrapText="1"/>
    </xf>
    <xf numFmtId="0" fontId="4" fillId="53" borderId="0" xfId="86" applyFont="1" applyFill="1" applyAlignment="1" applyProtection="1">
      <alignment horizontal="center" vertical="center" wrapText="1"/>
    </xf>
    <xf numFmtId="0" fontId="3" fillId="53" borderId="13" xfId="86" quotePrefix="1" applyFill="1" applyBorder="1" applyAlignment="1" applyProtection="1">
      <alignment vertical="center"/>
    </xf>
    <xf numFmtId="0" fontId="4" fillId="53" borderId="0" xfId="86" applyFont="1" applyFill="1" applyAlignment="1" applyProtection="1">
      <alignment vertical="center"/>
    </xf>
    <xf numFmtId="0" fontId="3" fillId="53" borderId="5" xfId="86" applyFill="1" applyBorder="1" applyAlignment="1" applyProtection="1">
      <alignment vertical="center"/>
    </xf>
    <xf numFmtId="0" fontId="4" fillId="53" borderId="13" xfId="86" applyFont="1" applyFill="1" applyBorder="1" applyAlignment="1" applyProtection="1">
      <alignment vertical="center"/>
    </xf>
    <xf numFmtId="0" fontId="3" fillId="53" borderId="13" xfId="86" applyFill="1" applyBorder="1" applyAlignment="1" applyProtection="1">
      <alignment horizontal="right" vertical="center"/>
    </xf>
    <xf numFmtId="0" fontId="3" fillId="53" borderId="0" xfId="86" applyFill="1" applyBorder="1" applyAlignment="1" applyProtection="1">
      <alignment horizontal="right" vertical="center"/>
    </xf>
    <xf numFmtId="0" fontId="4" fillId="53" borderId="5" xfId="86" applyFont="1" applyFill="1" applyBorder="1" applyAlignment="1" applyProtection="1">
      <alignment vertical="center"/>
    </xf>
    <xf numFmtId="168" fontId="5" fillId="33" borderId="38" xfId="20" applyFont="1" applyFill="1" applyBorder="1" applyAlignment="1" applyProtection="1">
      <alignment vertical="center"/>
      <protection locked="0"/>
    </xf>
    <xf numFmtId="190" fontId="3" fillId="33" borderId="38" xfId="57" applyFill="1" applyBorder="1" applyProtection="1">
      <alignment vertical="center"/>
      <protection locked="0"/>
    </xf>
    <xf numFmtId="0" fontId="8" fillId="53" borderId="0" xfId="0" applyFont="1" applyFill="1" applyAlignment="1" applyProtection="1">
      <alignment vertical="center"/>
    </xf>
    <xf numFmtId="0" fontId="9" fillId="31" borderId="13" xfId="0" applyFont="1" applyFill="1" applyBorder="1" applyAlignment="1" applyProtection="1">
      <alignment vertical="center"/>
    </xf>
    <xf numFmtId="0" fontId="9" fillId="53" borderId="0" xfId="0" applyFont="1" applyFill="1" applyBorder="1" applyAlignment="1" applyProtection="1">
      <alignment vertical="center"/>
    </xf>
    <xf numFmtId="0" fontId="0" fillId="36" borderId="0" xfId="0" applyFill="1" applyAlignment="1" applyProtection="1"/>
    <xf numFmtId="172" fontId="0" fillId="8" borderId="0" xfId="11" applyNumberFormat="1" applyFont="1" applyFill="1" applyProtection="1"/>
    <xf numFmtId="0" fontId="4" fillId="53" borderId="8" xfId="0" applyFont="1" applyFill="1" applyBorder="1" applyAlignment="1" applyProtection="1">
      <alignment vertical="center"/>
    </xf>
    <xf numFmtId="0" fontId="3" fillId="53" borderId="0" xfId="86" applyFill="1" applyBorder="1" applyAlignment="1" applyProtection="1">
      <alignment horizontal="center" vertical="center"/>
    </xf>
    <xf numFmtId="0" fontId="71" fillId="31" borderId="13" xfId="0" applyFont="1" applyFill="1" applyBorder="1" applyAlignment="1" applyProtection="1">
      <alignment vertical="center"/>
    </xf>
    <xf numFmtId="0" fontId="4" fillId="53" borderId="13" xfId="0" applyFont="1" applyFill="1" applyBorder="1" applyAlignment="1" applyProtection="1">
      <alignment vertical="center"/>
    </xf>
    <xf numFmtId="168" fontId="4" fillId="53" borderId="13" xfId="0" applyNumberFormat="1" applyFont="1" applyFill="1" applyBorder="1" applyAlignment="1" applyProtection="1">
      <alignment vertical="center"/>
    </xf>
    <xf numFmtId="168" fontId="3" fillId="53" borderId="0" xfId="53" applyFill="1" applyBorder="1" applyProtection="1">
      <alignment vertical="center"/>
    </xf>
    <xf numFmtId="0" fontId="3" fillId="53" borderId="8" xfId="0" applyFont="1" applyFill="1" applyBorder="1" applyAlignment="1" applyProtection="1">
      <alignment vertical="center"/>
    </xf>
    <xf numFmtId="168" fontId="3" fillId="53" borderId="0" xfId="53" applyFill="1" applyProtection="1">
      <alignment vertical="center"/>
    </xf>
    <xf numFmtId="164" fontId="3" fillId="53" borderId="0" xfId="11" applyFill="1" applyAlignment="1" applyProtection="1">
      <alignment vertical="center"/>
    </xf>
    <xf numFmtId="168" fontId="3" fillId="53" borderId="35" xfId="53" applyFill="1" applyBorder="1" applyProtection="1">
      <alignment vertical="center"/>
    </xf>
    <xf numFmtId="168" fontId="3" fillId="25" borderId="0" xfId="53" applyFont="1" applyFill="1" applyProtection="1">
      <alignment vertical="center"/>
    </xf>
    <xf numFmtId="164" fontId="3" fillId="25" borderId="0" xfId="11" applyFill="1" applyAlignment="1" applyProtection="1">
      <alignment vertical="center"/>
    </xf>
    <xf numFmtId="168" fontId="3" fillId="53" borderId="0" xfId="53" applyFont="1" applyFill="1" applyProtection="1">
      <alignment vertical="center"/>
    </xf>
    <xf numFmtId="168" fontId="3" fillId="38" borderId="0" xfId="53" applyFont="1" applyFill="1" applyProtection="1">
      <alignment vertical="center"/>
    </xf>
    <xf numFmtId="164" fontId="3" fillId="38" borderId="0" xfId="11" applyFill="1" applyAlignment="1" applyProtection="1">
      <alignment vertical="center"/>
    </xf>
    <xf numFmtId="11" fontId="3" fillId="43" borderId="0" xfId="11" applyNumberFormat="1" applyFill="1" applyAlignment="1" applyProtection="1">
      <alignment vertical="center"/>
    </xf>
    <xf numFmtId="9" fontId="3" fillId="53" borderId="0" xfId="33" applyFont="1" applyFill="1" applyAlignment="1" applyProtection="1">
      <alignment vertical="center"/>
    </xf>
    <xf numFmtId="0" fontId="3" fillId="53" borderId="35" xfId="0" applyFont="1" applyFill="1" applyBorder="1" applyAlignment="1" applyProtection="1">
      <alignment vertical="center"/>
    </xf>
    <xf numFmtId="168" fontId="3" fillId="53" borderId="8" xfId="53" applyFill="1" applyBorder="1" applyProtection="1">
      <alignment vertical="center"/>
    </xf>
    <xf numFmtId="168" fontId="3" fillId="53" borderId="13" xfId="0" applyNumberFormat="1" applyFont="1" applyFill="1" applyBorder="1" applyAlignment="1" applyProtection="1">
      <alignment vertical="center"/>
    </xf>
    <xf numFmtId="0" fontId="0" fillId="36" borderId="0" xfId="0" applyFill="1" applyAlignment="1" applyProtection="1">
      <alignment wrapText="1"/>
    </xf>
    <xf numFmtId="0" fontId="22" fillId="53" borderId="0" xfId="0" applyFont="1" applyFill="1" applyBorder="1" applyAlignment="1" applyProtection="1">
      <alignment horizontal="center" vertical="center"/>
    </xf>
    <xf numFmtId="9" fontId="3" fillId="0" borderId="36" xfId="33" applyFill="1" applyBorder="1" applyAlignment="1" applyProtection="1">
      <alignment vertical="center"/>
    </xf>
    <xf numFmtId="0" fontId="22" fillId="53" borderId="0" xfId="0" applyFont="1" applyFill="1" applyAlignment="1" applyProtection="1">
      <alignment horizontal="center" vertical="center"/>
    </xf>
    <xf numFmtId="190" fontId="3" fillId="53" borderId="0" xfId="57" applyFill="1" applyProtection="1">
      <alignment vertical="center"/>
    </xf>
    <xf numFmtId="167" fontId="3" fillId="53" borderId="0" xfId="61" applyFont="1" applyFill="1" applyAlignment="1" applyProtection="1">
      <alignment horizontal="left" vertical="center"/>
    </xf>
    <xf numFmtId="167" fontId="3" fillId="53" borderId="0" xfId="61" applyFont="1" applyFill="1" applyAlignment="1" applyProtection="1">
      <alignment vertical="center"/>
    </xf>
    <xf numFmtId="190" fontId="4" fillId="53" borderId="0" xfId="0" applyNumberFormat="1" applyFont="1" applyFill="1" applyAlignment="1" applyProtection="1">
      <alignment horizontal="right" vertical="center"/>
    </xf>
    <xf numFmtId="200" fontId="5" fillId="0" borderId="0" xfId="5" applyNumberFormat="1" applyFont="1" applyFill="1" applyProtection="1">
      <alignment vertical="center"/>
    </xf>
    <xf numFmtId="0" fontId="3" fillId="53" borderId="13" xfId="0" applyFont="1" applyFill="1" applyBorder="1" applyAlignment="1" applyProtection="1">
      <alignment vertical="center"/>
    </xf>
    <xf numFmtId="190" fontId="3" fillId="53" borderId="0" xfId="57" applyFill="1" applyBorder="1" applyProtection="1">
      <alignment vertical="center"/>
    </xf>
    <xf numFmtId="167" fontId="3" fillId="53" borderId="0" xfId="61" applyFont="1" applyFill="1" applyBorder="1" applyAlignment="1" applyProtection="1">
      <alignment horizontal="left" vertical="center"/>
    </xf>
    <xf numFmtId="167" fontId="3" fillId="53" borderId="0" xfId="61" applyFont="1" applyFill="1" applyBorder="1" applyAlignment="1" applyProtection="1">
      <alignment vertical="center"/>
    </xf>
    <xf numFmtId="164" fontId="3" fillId="53" borderId="0" xfId="11" quotePrefix="1" applyFont="1" applyFill="1" applyBorder="1" applyAlignment="1" applyProtection="1">
      <alignment horizontal="left" vertical="center"/>
    </xf>
    <xf numFmtId="164" fontId="3" fillId="53" borderId="0" xfId="11" quotePrefix="1" applyFont="1" applyFill="1" applyBorder="1" applyAlignment="1" applyProtection="1">
      <alignment horizontal="right" vertical="center"/>
    </xf>
    <xf numFmtId="200" fontId="5" fillId="31" borderId="13" xfId="5" applyNumberFormat="1" applyFont="1" applyFill="1" applyBorder="1" applyProtection="1">
      <alignment vertical="center"/>
    </xf>
    <xf numFmtId="0" fontId="4" fillId="0" borderId="0" xfId="0" applyFont="1" applyAlignment="1" applyProtection="1">
      <alignment vertical="center"/>
    </xf>
    <xf numFmtId="0" fontId="3" fillId="0" borderId="35" xfId="0" applyFont="1" applyFill="1" applyBorder="1" applyAlignment="1" applyProtection="1">
      <alignment vertical="center"/>
    </xf>
    <xf numFmtId="200" fontId="5" fillId="53" borderId="0" xfId="5" applyNumberFormat="1" applyFont="1" applyFill="1" applyBorder="1" applyProtection="1">
      <alignment vertical="center"/>
    </xf>
    <xf numFmtId="200" fontId="4" fillId="53" borderId="5" xfId="5" applyNumberFormat="1" applyFont="1" applyFill="1" applyBorder="1" applyProtection="1">
      <alignment vertical="center"/>
    </xf>
    <xf numFmtId="0" fontId="4" fillId="53" borderId="13" xfId="0" applyFont="1" applyFill="1" applyBorder="1" applyAlignment="1" applyProtection="1">
      <alignment horizontal="center" vertical="center"/>
    </xf>
    <xf numFmtId="0" fontId="4" fillId="53" borderId="0" xfId="0" applyFont="1" applyFill="1" applyBorder="1" applyAlignment="1" applyProtection="1">
      <alignment horizontal="center" vertical="center"/>
    </xf>
    <xf numFmtId="0" fontId="4" fillId="0" borderId="13" xfId="0" applyFont="1" applyBorder="1" applyAlignment="1" applyProtection="1">
      <alignment vertical="center"/>
    </xf>
    <xf numFmtId="0" fontId="4" fillId="0" borderId="13" xfId="0" applyFont="1" applyBorder="1" applyAlignment="1" applyProtection="1">
      <alignment horizontal="center" vertical="center"/>
    </xf>
    <xf numFmtId="0" fontId="4" fillId="53" borderId="13" xfId="0" applyFont="1" applyFill="1" applyBorder="1" applyAlignment="1" applyProtection="1">
      <alignment horizontal="left" vertical="center"/>
    </xf>
    <xf numFmtId="0" fontId="9" fillId="31" borderId="13" xfId="0" applyFont="1" applyFill="1" applyBorder="1" applyAlignment="1" applyProtection="1">
      <alignment vertical="center" wrapText="1"/>
    </xf>
    <xf numFmtId="0" fontId="71" fillId="31" borderId="13" xfId="0" applyFont="1" applyFill="1" applyBorder="1" applyAlignment="1" applyProtection="1">
      <alignment horizontal="center" vertical="center" wrapText="1"/>
    </xf>
    <xf numFmtId="0" fontId="4" fillId="53" borderId="8" xfId="0" applyFont="1" applyFill="1" applyBorder="1" applyAlignment="1" applyProtection="1">
      <alignment horizontal="center" vertical="center"/>
    </xf>
    <xf numFmtId="0" fontId="55" fillId="53" borderId="35" xfId="0" applyFont="1" applyFill="1" applyBorder="1" applyAlignment="1" applyProtection="1">
      <alignment vertical="center"/>
    </xf>
    <xf numFmtId="168" fontId="3" fillId="53" borderId="0" xfId="0" applyNumberFormat="1" applyFont="1" applyFill="1" applyBorder="1" applyAlignment="1" applyProtection="1">
      <alignment vertical="center"/>
    </xf>
    <xf numFmtId="0" fontId="12" fillId="53" borderId="0" xfId="17" applyFill="1" applyBorder="1" applyAlignment="1" applyProtection="1">
      <alignment horizontal="left" vertical="center"/>
    </xf>
    <xf numFmtId="0" fontId="9" fillId="33" borderId="38" xfId="0" applyFont="1" applyFill="1" applyBorder="1" applyAlignment="1" applyProtection="1">
      <alignment vertical="center"/>
      <protection locked="0"/>
    </xf>
    <xf numFmtId="0" fontId="3" fillId="53" borderId="0" xfId="0" applyFont="1" applyFill="1" applyBorder="1" applyAlignment="1" applyProtection="1">
      <alignment horizontal="left" vertical="center" wrapText="1"/>
    </xf>
    <xf numFmtId="0" fontId="9" fillId="31" borderId="13" xfId="0" applyFont="1" applyFill="1" applyBorder="1" applyAlignment="1" applyProtection="1">
      <alignment horizontal="left" vertical="top"/>
    </xf>
    <xf numFmtId="0" fontId="9" fillId="53" borderId="0" xfId="0" applyFont="1" applyFill="1" applyAlignment="1" applyProtection="1">
      <alignment vertical="center"/>
    </xf>
    <xf numFmtId="0" fontId="15" fillId="6" borderId="0" xfId="0" applyFont="1" applyFill="1" applyAlignment="1" applyProtection="1">
      <alignment vertical="center" wrapText="1"/>
    </xf>
    <xf numFmtId="0" fontId="11" fillId="0" borderId="0" xfId="0" applyFont="1" applyAlignment="1" applyProtection="1">
      <alignment horizontal="left" vertical="top" wrapText="1"/>
    </xf>
    <xf numFmtId="0" fontId="3" fillId="6" borderId="0" xfId="0" applyFont="1" applyFill="1" applyAlignment="1" applyProtection="1"/>
    <xf numFmtId="0" fontId="72"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0" borderId="0" xfId="0" applyFont="1" applyFill="1" applyAlignment="1" applyProtection="1">
      <alignment horizontal="left" vertical="top" wrapText="1"/>
    </xf>
    <xf numFmtId="0" fontId="11" fillId="6" borderId="0" xfId="0" applyFont="1" applyFill="1" applyAlignment="1" applyProtection="1">
      <alignment horizontal="left" vertical="top" wrapText="1"/>
    </xf>
    <xf numFmtId="0" fontId="5" fillId="0" borderId="0" xfId="0" applyFont="1" applyAlignment="1" applyProtection="1">
      <alignment horizontal="left" vertical="top"/>
    </xf>
    <xf numFmtId="0" fontId="11" fillId="6" borderId="0" xfId="0" applyFont="1" applyFill="1" applyAlignment="1" applyProtection="1">
      <alignment horizontal="left" vertical="top"/>
    </xf>
    <xf numFmtId="0" fontId="11" fillId="6" borderId="0" xfId="0" applyFont="1" applyFill="1" applyProtection="1"/>
    <xf numFmtId="0" fontId="8" fillId="6" borderId="0" xfId="0" applyFont="1" applyFill="1" applyAlignment="1" applyProtection="1">
      <alignment horizontal="left" vertical="center" wrapText="1"/>
    </xf>
    <xf numFmtId="0" fontId="14" fillId="6" borderId="0" xfId="0" applyFont="1" applyFill="1" applyAlignment="1" applyProtection="1">
      <alignment horizontal="left" vertical="center" wrapText="1"/>
    </xf>
    <xf numFmtId="0" fontId="73" fillId="6" borderId="0" xfId="0" applyFont="1" applyFill="1" applyAlignment="1" applyProtection="1">
      <alignment vertical="center" wrapText="1"/>
    </xf>
    <xf numFmtId="0" fontId="12" fillId="0" borderId="0" xfId="17" applyFill="1" applyAlignment="1" applyProtection="1">
      <alignment horizontal="left" vertical="top" wrapText="1"/>
      <protection locked="0"/>
    </xf>
    <xf numFmtId="0" fontId="12" fillId="0" borderId="0" xfId="17" applyAlignment="1" applyProtection="1">
      <alignment horizontal="left" vertical="top"/>
      <protection locked="0"/>
    </xf>
    <xf numFmtId="0" fontId="12" fillId="0" borderId="0" xfId="17" applyAlignment="1" applyProtection="1">
      <alignment horizontal="left" vertical="top" wrapText="1"/>
      <protection locked="0"/>
    </xf>
    <xf numFmtId="0" fontId="12" fillId="6" borderId="0" xfId="17" applyFill="1" applyAlignment="1" applyProtection="1">
      <alignment horizontal="left" vertical="top" wrapText="1"/>
      <protection locked="0"/>
    </xf>
    <xf numFmtId="187" fontId="3" fillId="7" borderId="0" xfId="5" applyFont="1" applyFill="1" applyProtection="1">
      <alignment vertical="center"/>
    </xf>
    <xf numFmtId="172" fontId="11" fillId="7" borderId="0" xfId="11" applyNumberFormat="1" applyFont="1" applyFill="1" applyAlignment="1" applyProtection="1">
      <alignment horizontal="center" vertical="center" wrapText="1"/>
    </xf>
    <xf numFmtId="11" fontId="0" fillId="25" borderId="0" xfId="0" applyNumberFormat="1" applyFill="1"/>
    <xf numFmtId="0" fontId="12" fillId="53" borderId="0" xfId="17" applyFont="1" applyFill="1" applyBorder="1" applyAlignment="1" applyProtection="1">
      <alignment vertical="center"/>
      <protection locked="0"/>
    </xf>
    <xf numFmtId="0" fontId="74" fillId="31" borderId="13" xfId="17" applyFont="1" applyFill="1" applyBorder="1" applyAlignment="1" applyProtection="1">
      <alignment vertical="center"/>
      <protection locked="0"/>
    </xf>
    <xf numFmtId="0" fontId="12" fillId="53" borderId="0" xfId="17" applyFill="1" applyBorder="1" applyAlignment="1" applyProtection="1">
      <alignment vertical="center"/>
      <protection locked="0"/>
    </xf>
    <xf numFmtId="0" fontId="12" fillId="53" borderId="0" xfId="17" applyFill="1" applyAlignment="1" applyProtection="1">
      <alignment horizontal="left" vertical="center"/>
      <protection locked="0"/>
    </xf>
    <xf numFmtId="0" fontId="12" fillId="0" borderId="0" xfId="17" applyAlignment="1" applyProtection="1">
      <alignment vertical="center"/>
      <protection locked="0"/>
    </xf>
    <xf numFmtId="0" fontId="12" fillId="53" borderId="0" xfId="17" applyFill="1" applyAlignment="1" applyProtection="1">
      <alignment vertical="center"/>
      <protection locked="0"/>
    </xf>
    <xf numFmtId="0" fontId="11" fillId="6" borderId="0" xfId="0" applyFont="1" applyFill="1" applyAlignment="1" applyProtection="1">
      <alignment vertical="center" wrapText="1"/>
    </xf>
    <xf numFmtId="0" fontId="3" fillId="40" borderId="0" xfId="0" applyFont="1" applyFill="1" applyAlignment="1"/>
    <xf numFmtId="0" fontId="3" fillId="40" borderId="0" xfId="0" applyFont="1" applyFill="1" applyAlignment="1">
      <alignment horizontal="center"/>
    </xf>
    <xf numFmtId="199" fontId="5" fillId="40" borderId="0" xfId="0" applyNumberFormat="1" applyFont="1" applyFill="1" applyAlignment="1">
      <alignment vertical="center"/>
    </xf>
    <xf numFmtId="202" fontId="5" fillId="40" borderId="0" xfId="0" applyNumberFormat="1" applyFont="1" applyFill="1" applyAlignment="1">
      <alignment vertical="center"/>
    </xf>
    <xf numFmtId="199" fontId="3" fillId="40" borderId="0" xfId="0" applyNumberFormat="1" applyFont="1" applyFill="1" applyAlignment="1">
      <alignment vertical="center"/>
    </xf>
    <xf numFmtId="0" fontId="0" fillId="40" borderId="0" xfId="0" applyFill="1"/>
    <xf numFmtId="14" fontId="5" fillId="40" borderId="0" xfId="11" applyNumberFormat="1" applyFont="1" applyFill="1" applyAlignment="1" applyProtection="1">
      <alignment vertical="center"/>
      <protection locked="0"/>
    </xf>
    <xf numFmtId="0" fontId="3" fillId="53" borderId="0" xfId="0" applyFont="1" applyFill="1" applyBorder="1" applyAlignment="1" applyProtection="1">
      <alignment vertical="center" wrapText="1"/>
    </xf>
    <xf numFmtId="0" fontId="4" fillId="52" borderId="9" xfId="0" applyFont="1" applyFill="1" applyBorder="1" applyAlignment="1">
      <alignment vertical="center" wrapText="1"/>
    </xf>
    <xf numFmtId="0" fontId="4" fillId="52" borderId="11" xfId="0" applyFont="1" applyFill="1" applyBorder="1" applyAlignment="1">
      <alignment vertical="center" wrapText="1"/>
    </xf>
    <xf numFmtId="0" fontId="4" fillId="52" borderId="14" xfId="0" applyFont="1" applyFill="1" applyBorder="1" applyAlignment="1">
      <alignment vertical="center" wrapText="1"/>
    </xf>
    <xf numFmtId="0" fontId="60" fillId="0" borderId="0" xfId="70" applyFont="1" applyBorder="1" applyAlignment="1">
      <alignment horizontal="left"/>
    </xf>
  </cellXfs>
  <cellStyles count="87">
    <cellStyle name="2x indented GHG Textfiels" xfId="1" xr:uid="{00000000-0005-0000-0000-000000000000}"/>
    <cellStyle name="5x indented GHG Textfiels" xfId="2" xr:uid="{00000000-0005-0000-0000-000001000000}"/>
    <cellStyle name="Boden" xfId="3" xr:uid="{00000000-0005-0000-0000-000002000000}"/>
    <cellStyle name="Bold GHG Numbers (0.00)" xfId="4" xr:uid="{00000000-0005-0000-0000-000003000000}"/>
    <cellStyle name="CHF" xfId="5" xr:uid="{00000000-0005-0000-0000-000004000000}"/>
    <cellStyle name="CHF 2" xfId="54" xr:uid="{00000000-0005-0000-0000-000005000000}"/>
    <cellStyle name="Comma [0]_CAS Ciba" xfId="6" xr:uid="{00000000-0005-0000-0000-000006000000}"/>
    <cellStyle name="Comma_CAS Ciba" xfId="7" xr:uid="{00000000-0005-0000-0000-000007000000}"/>
    <cellStyle name="comment" xfId="8" xr:uid="{00000000-0005-0000-0000-000008000000}"/>
    <cellStyle name="Currency [0]_CAS Ciba" xfId="9" xr:uid="{00000000-0005-0000-0000-000009000000}"/>
    <cellStyle name="Currency_CAS Ciba" xfId="10" xr:uid="{00000000-0005-0000-0000-00000A000000}"/>
    <cellStyle name="dt" xfId="12" xr:uid="{00000000-0005-0000-0000-00000B000000}"/>
    <cellStyle name="EcoTitel" xfId="13" xr:uid="{00000000-0005-0000-0000-00000C000000}"/>
    <cellStyle name="EcoZahl" xfId="14" xr:uid="{00000000-0005-0000-0000-00000D000000}"/>
    <cellStyle name="Euro" xfId="15" xr:uid="{00000000-0005-0000-0000-00000E000000}"/>
    <cellStyle name="Excel Built-in Normal" xfId="51" xr:uid="{00000000-0005-0000-0000-00000F000000}"/>
    <cellStyle name="Headline" xfId="16" xr:uid="{00000000-0005-0000-0000-000010000000}"/>
    <cellStyle name="Hyperlink 2" xfId="59" xr:uid="{00000000-0005-0000-0000-000012000000}"/>
    <cellStyle name="Hyperlink_SelectedResults-all" xfId="78" xr:uid="{00000000-0005-0000-0000-000013000000}"/>
    <cellStyle name="kg" xfId="18" xr:uid="{00000000-0005-0000-0000-000014000000}"/>
    <cellStyle name="kg 2" xfId="60" xr:uid="{00000000-0005-0000-0000-000015000000}"/>
    <cellStyle name="km" xfId="19" xr:uid="{00000000-0005-0000-0000-000016000000}"/>
    <cellStyle name="km 2" xfId="61" xr:uid="{00000000-0005-0000-0000-000017000000}"/>
    <cellStyle name="Komma" xfId="11" builtinId="3"/>
    <cellStyle name="Komma 2" xfId="58" xr:uid="{00000000-0005-0000-0000-000019000000}"/>
    <cellStyle name="Komma 3" xfId="71" xr:uid="{00000000-0005-0000-0000-00001A000000}"/>
    <cellStyle name="kW" xfId="55" xr:uid="{00000000-0005-0000-0000-00001B000000}"/>
    <cellStyle name="kWh" xfId="20" xr:uid="{00000000-0005-0000-0000-00001C000000}"/>
    <cellStyle name="kWh 2" xfId="53" xr:uid="{00000000-0005-0000-0000-00001D000000}"/>
    <cellStyle name="l" xfId="21" xr:uid="{00000000-0005-0000-0000-00001E000000}"/>
    <cellStyle name="Link" xfId="17" builtinId="8"/>
    <cellStyle name="Luft" xfId="22" xr:uid="{00000000-0005-0000-0000-00001F000000}"/>
    <cellStyle name="m2" xfId="23" xr:uid="{00000000-0005-0000-0000-000020000000}"/>
    <cellStyle name="m2a" xfId="24" xr:uid="{00000000-0005-0000-0000-000021000000}"/>
    <cellStyle name="m3" xfId="25" xr:uid="{00000000-0005-0000-0000-000022000000}"/>
    <cellStyle name="m3 2" xfId="62" xr:uid="{00000000-0005-0000-0000-000023000000}"/>
    <cellStyle name="Niels" xfId="26" xr:uid="{00000000-0005-0000-0000-000024000000}"/>
    <cellStyle name="NielsProz" xfId="27" xr:uid="{00000000-0005-0000-0000-000025000000}"/>
    <cellStyle name="NielsProzent" xfId="28" xr:uid="{00000000-0005-0000-0000-000026000000}"/>
    <cellStyle name="Normál 2" xfId="76" xr:uid="{00000000-0005-0000-0000-000027000000}"/>
    <cellStyle name="Normal GHG Numbers (0.00)" xfId="29" xr:uid="{00000000-0005-0000-0000-000028000000}"/>
    <cellStyle name="Normal GHG Textfiels Bold" xfId="30" xr:uid="{00000000-0005-0000-0000-000029000000}"/>
    <cellStyle name="Normal GHG whole table" xfId="31" xr:uid="{00000000-0005-0000-0000-00002A000000}"/>
    <cellStyle name="Normal_andere" xfId="73" xr:uid="{00000000-0005-0000-0000-00002B000000}"/>
    <cellStyle name="NormalTabelle" xfId="32" xr:uid="{00000000-0005-0000-0000-00002C000000}"/>
    <cellStyle name="Prozent" xfId="33" builtinId="5"/>
    <cellStyle name="Prozent 2" xfId="52" xr:uid="{00000000-0005-0000-0000-00002E000000}"/>
    <cellStyle name="Prozent 3" xfId="63" xr:uid="{00000000-0005-0000-0000-00002F000000}"/>
    <cellStyle name="Prozent 4" xfId="72" xr:uid="{00000000-0005-0000-0000-000030000000}"/>
    <cellStyle name="prozent+" xfId="34" xr:uid="{00000000-0005-0000-0000-000031000000}"/>
    <cellStyle name="prozent+ 2" xfId="64" xr:uid="{00000000-0005-0000-0000-000032000000}"/>
    <cellStyle name="Prüfung" xfId="35" xr:uid="{00000000-0005-0000-0000-000033000000}"/>
    <cellStyle name="Prüfung 2" xfId="65" xr:uid="{00000000-0005-0000-0000-000034000000}"/>
    <cellStyle name="Scientific" xfId="74" xr:uid="{00000000-0005-0000-0000-000035000000}"/>
    <cellStyle name="Standard" xfId="0" builtinId="0"/>
    <cellStyle name="Standard 2" xfId="70" xr:uid="{00000000-0005-0000-0000-000037000000}"/>
    <cellStyle name="Standard 3" xfId="82" xr:uid="{00000000-0005-0000-0000-000038000000}"/>
    <cellStyle name="Standard 4" xfId="85" xr:uid="{B0712CB1-7B5D-4E80-A7F2-AB4C912A68AE}"/>
    <cellStyle name="Standard 5" xfId="86" xr:uid="{8DDE9146-D6D4-4771-97E9-F044EE02BB1C}"/>
    <cellStyle name="Standard_Bsp-Datenaustausch_S&amp;U" xfId="79" xr:uid="{00000000-0005-0000-0000-000039000000}"/>
    <cellStyle name="Standard_ecoinvent2000-names-3.9" xfId="83" xr:uid="{00000000-0005-0000-0000-00003A000000}"/>
    <cellStyle name="Standard_EI99-XML-v0.33" xfId="77" xr:uid="{00000000-0005-0000-0000-00003B000000}"/>
    <cellStyle name="Standard_Grüngutbehandlung_0.1" xfId="36" xr:uid="{00000000-0005-0000-0000-00003C000000}"/>
    <cellStyle name="Standard_Hilfstabelle KWM-2.0" xfId="37" xr:uid="{00000000-0005-0000-0000-00003D000000}"/>
    <cellStyle name="Standard_KWM_HOLZ-2004-1.01u" xfId="56" xr:uid="{00000000-0005-0000-0000-00003E000000}"/>
    <cellStyle name="Standard_KWM_LW_BIOGAS-2007-2.3" xfId="38" xr:uid="{00000000-0005-0000-0000-00003F000000}"/>
    <cellStyle name="Standard_landwirtschaftsubstrate" xfId="39" xr:uid="{00000000-0005-0000-0000-000040000000}"/>
    <cellStyle name="Standard_Modules-rf" xfId="84" xr:uid="{00000000-0005-0000-0000-000041000000}"/>
    <cellStyle name="Standard_neueingabe-magnesium-1.10" xfId="81" xr:uid="{00000000-0005-0000-0000-000042000000}"/>
    <cellStyle name="Standard_neueingabe-transport-0.5" xfId="80" xr:uid="{00000000-0005-0000-0000-000043000000}"/>
    <cellStyle name="t" xfId="40" xr:uid="{00000000-0005-0000-0000-000044000000}"/>
    <cellStyle name="t 2" xfId="57" xr:uid="{00000000-0005-0000-0000-000045000000}"/>
    <cellStyle name="text" xfId="41" xr:uid="{00000000-0005-0000-0000-000046000000}"/>
    <cellStyle name="Text-Manual" xfId="42" xr:uid="{00000000-0005-0000-0000-000047000000}"/>
    <cellStyle name="tkm" xfId="43" xr:uid="{00000000-0005-0000-0000-000048000000}"/>
    <cellStyle name="tkm 2" xfId="66" xr:uid="{00000000-0005-0000-0000-000049000000}"/>
    <cellStyle name="unit" xfId="44" xr:uid="{00000000-0005-0000-0000-00004A000000}"/>
    <cellStyle name="WährungKWM" xfId="75" xr:uid="{00000000-0005-0000-0000-00004B000000}"/>
    <cellStyle name="Wasser" xfId="45" xr:uid="{00000000-0005-0000-0000-00004C000000}"/>
    <cellStyle name="wis" xfId="46" xr:uid="{00000000-0005-0000-0000-00004D000000}"/>
    <cellStyle name="wissenschaft" xfId="47" xr:uid="{00000000-0005-0000-0000-00004E000000}"/>
    <cellStyle name="wissenschaft 2" xfId="67" xr:uid="{00000000-0005-0000-0000-00004F000000}"/>
    <cellStyle name="wissenschaft+" xfId="48" xr:uid="{00000000-0005-0000-0000-000050000000}"/>
    <cellStyle name="wissenschaft+ 2" xfId="68" xr:uid="{00000000-0005-0000-0000-000051000000}"/>
    <cellStyle name="wissenschaft-Eingabe" xfId="49" xr:uid="{00000000-0005-0000-0000-000052000000}"/>
    <cellStyle name="wissenschaft-Eingabe 2" xfId="69" xr:uid="{00000000-0005-0000-0000-000053000000}"/>
    <cellStyle name="zkh" xfId="50" xr:uid="{00000000-0005-0000-0000-000054000000}"/>
  </cellStyles>
  <dxfs count="133">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numFmt numFmtId="209" formatCode="&quot;Fr.&quot;\ #,##0.00"/>
    </dxf>
    <dxf>
      <numFmt numFmtId="210" formatCode="#,##0.00\ [$€-407]"/>
    </dxf>
    <dxf>
      <numFmt numFmtId="203" formatCode="[$HUF]\ #,##0.00"/>
    </dxf>
    <dxf>
      <numFmt numFmtId="211" formatCode="[$DKK]\ #,##0.00"/>
    </dxf>
    <dxf>
      <numFmt numFmtId="209" formatCode="&quot;Fr.&quot;\ #,##0.00"/>
    </dxf>
    <dxf>
      <numFmt numFmtId="210" formatCode="#,##0.00\ [$€-407]"/>
    </dxf>
    <dxf>
      <numFmt numFmtId="203" formatCode="[$HUF]\ #,##0.00"/>
    </dxf>
    <dxf>
      <numFmt numFmtId="211" formatCode="[$DKK]\ #,##0.00"/>
    </dxf>
    <dxf>
      <numFmt numFmtId="209" formatCode="&quot;Fr.&quot;\ #,##0.00"/>
    </dxf>
    <dxf>
      <numFmt numFmtId="210" formatCode="#,##0.00\ [$€-407]"/>
    </dxf>
    <dxf>
      <numFmt numFmtId="203" formatCode="[$HUF]\ #,##0.00"/>
    </dxf>
    <dxf>
      <numFmt numFmtId="211" formatCode="[$DKK]\ #,##0.00"/>
    </dxf>
    <dxf>
      <numFmt numFmtId="209" formatCode="&quot;Fr.&quot;\ #,##0.00"/>
    </dxf>
    <dxf>
      <numFmt numFmtId="210" formatCode="#,##0.00\ [$€-407]"/>
    </dxf>
    <dxf>
      <numFmt numFmtId="203" formatCode="[$HUF]\ #,##0.00"/>
    </dxf>
    <dxf>
      <numFmt numFmtId="211" formatCode="[$DKK]\ #,##0.00"/>
    </dxf>
    <dxf>
      <fill>
        <patternFill>
          <bgColor rgb="FFFF9999"/>
        </patternFill>
      </fill>
    </dxf>
    <dxf>
      <fill>
        <patternFill>
          <bgColor rgb="FF99FF99"/>
        </patternFill>
      </fill>
    </dxf>
    <dxf>
      <fill>
        <patternFill>
          <bgColor rgb="FFFFC000"/>
        </patternFill>
      </fill>
    </dxf>
    <dxf>
      <fill>
        <patternFill>
          <bgColor indexed="11"/>
        </patternFill>
      </fill>
    </dxf>
    <dxf>
      <fill>
        <patternFill>
          <bgColor indexed="10"/>
        </patternFill>
      </fill>
    </dxf>
    <dxf>
      <numFmt numFmtId="212" formatCode="&quot;CHF&quot;\ #,##0.00"/>
    </dxf>
    <dxf>
      <numFmt numFmtId="213" formatCode="[$EUR]\ #,##0.00"/>
    </dxf>
    <dxf>
      <numFmt numFmtId="203" formatCode="[$HUF]\ #,##0.00"/>
    </dxf>
    <dxf>
      <numFmt numFmtId="211" formatCode="[$DKK]\ #,##0.00"/>
    </dxf>
    <dxf>
      <numFmt numFmtId="207" formatCode="[$GBP]\ #,##0.00"/>
    </dxf>
    <dxf>
      <numFmt numFmtId="212" formatCode="&quot;CHF&quot;\ #,##0.00"/>
    </dxf>
    <dxf>
      <numFmt numFmtId="213" formatCode="[$EUR]\ #,##0.00"/>
    </dxf>
    <dxf>
      <numFmt numFmtId="203" formatCode="[$HUF]\ #,##0.00"/>
    </dxf>
    <dxf>
      <numFmt numFmtId="211" formatCode="[$DKK]\ #,##0.00"/>
    </dxf>
    <dxf>
      <numFmt numFmtId="207" formatCode="[$GBP]\ #,##0.00"/>
    </dxf>
    <dxf>
      <numFmt numFmtId="212" formatCode="&quot;CHF&quot;\ #,##0.00"/>
    </dxf>
    <dxf>
      <numFmt numFmtId="213" formatCode="[$EUR]\ #,##0.00"/>
    </dxf>
    <dxf>
      <numFmt numFmtId="203" formatCode="[$HUF]\ #,##0.00"/>
    </dxf>
    <dxf>
      <numFmt numFmtId="211" formatCode="[$DKK]\ #,##0.00"/>
    </dxf>
    <dxf>
      <numFmt numFmtId="207" formatCode="[$GBP]\ #,##0.00"/>
    </dxf>
    <dxf>
      <numFmt numFmtId="212" formatCode="&quot;CHF&quot;\ #,##0.00"/>
    </dxf>
    <dxf>
      <numFmt numFmtId="213" formatCode="[$EUR]\ #,##0.00"/>
    </dxf>
    <dxf>
      <numFmt numFmtId="203" formatCode="[$HUF]\ #,##0.00"/>
    </dxf>
    <dxf>
      <numFmt numFmtId="211" formatCode="[$DKK]\ #,##0.00"/>
    </dxf>
    <dxf>
      <numFmt numFmtId="207" formatCode="[$GBP]\ #,##0.00"/>
    </dxf>
    <dxf>
      <numFmt numFmtId="212" formatCode="&quot;CHF&quot;\ #,##0.00"/>
    </dxf>
    <dxf>
      <numFmt numFmtId="213" formatCode="[$EUR]\ #,##0.00"/>
    </dxf>
    <dxf>
      <numFmt numFmtId="203" formatCode="[$HUF]\ #,##0.00"/>
    </dxf>
    <dxf>
      <numFmt numFmtId="211" formatCode="[$DKK]\ #,##0.00"/>
    </dxf>
    <dxf>
      <numFmt numFmtId="207" formatCode="[$GBP]\ #,##0.00"/>
    </dxf>
    <dxf>
      <numFmt numFmtId="212" formatCode="&quot;CHF&quot;\ #,##0.00"/>
    </dxf>
    <dxf>
      <numFmt numFmtId="213" formatCode="[$EUR]\ #,##0.00"/>
    </dxf>
    <dxf>
      <numFmt numFmtId="203" formatCode="[$HUF]\ #,##0.00"/>
    </dxf>
    <dxf>
      <numFmt numFmtId="211" formatCode="[$DKK]\ #,##0.00"/>
    </dxf>
    <dxf>
      <numFmt numFmtId="207" formatCode="[$GBP]\ #,##0.00"/>
    </dxf>
    <dxf>
      <numFmt numFmtId="212" formatCode="&quot;CHF&quot;\ #,##0.00"/>
    </dxf>
    <dxf>
      <numFmt numFmtId="213" formatCode="[$EUR]\ #,##0.00"/>
    </dxf>
    <dxf>
      <numFmt numFmtId="203" formatCode="[$HUF]\ #,##0.00"/>
    </dxf>
    <dxf>
      <numFmt numFmtId="211" formatCode="[$DKK]\ #,##0.00"/>
    </dxf>
    <dxf>
      <numFmt numFmtId="207" formatCode="[$GBP]\ #,##0.00"/>
    </dxf>
    <dxf>
      <numFmt numFmtId="212" formatCode="&quot;CHF&quot;\ #,##0.00"/>
    </dxf>
    <dxf>
      <numFmt numFmtId="213" formatCode="[$EUR]\ #,##0.00"/>
    </dxf>
    <dxf>
      <numFmt numFmtId="203" formatCode="[$HUF]\ #,##0.00"/>
    </dxf>
    <dxf>
      <numFmt numFmtId="211" formatCode="[$DKK]\ #,##0.00"/>
    </dxf>
    <dxf>
      <numFmt numFmtId="207" formatCode="[$GBP]\ #,##0.00"/>
    </dxf>
    <dxf>
      <fill>
        <patternFill>
          <bgColor rgb="FFFFC7CE"/>
        </patternFill>
      </fill>
    </dxf>
    <dxf>
      <fill>
        <patternFill>
          <bgColor rgb="FFFFC7CE"/>
        </patternFill>
      </fill>
    </dxf>
    <dxf>
      <fill>
        <patternFill>
          <bgColor indexed="10"/>
        </patternFill>
      </fill>
    </dxf>
    <dxf>
      <fill>
        <patternFill>
          <bgColor theme="0"/>
        </patternFill>
      </fill>
    </dxf>
    <dxf>
      <fill>
        <patternFill>
          <bgColor indexed="11"/>
        </patternFill>
      </fill>
    </dxf>
    <dxf>
      <fill>
        <patternFill>
          <bgColor indexed="10"/>
        </patternFill>
      </fill>
    </dxf>
    <dxf>
      <fill>
        <patternFill>
          <bgColor indexed="11"/>
        </patternFill>
      </fill>
    </dxf>
    <dxf>
      <fill>
        <patternFill>
          <bgColor indexed="10"/>
        </patternFill>
      </fill>
    </dxf>
    <dxf>
      <numFmt numFmtId="212" formatCode="&quot;CHF&quot;\ #,##0.00"/>
    </dxf>
    <dxf>
      <numFmt numFmtId="213" formatCode="[$EUR]\ #,##0.00"/>
    </dxf>
    <dxf>
      <numFmt numFmtId="203" formatCode="[$HUF]\ #,##0.00"/>
    </dxf>
    <dxf>
      <numFmt numFmtId="211" formatCode="[$DKK]\ #,##0.00"/>
    </dxf>
    <dxf>
      <numFmt numFmtId="207" formatCode="[$GBP]\ #,##0.00"/>
    </dxf>
    <dxf>
      <numFmt numFmtId="212" formatCode="&quot;CHF&quot;\ #,##0.00"/>
    </dxf>
    <dxf>
      <numFmt numFmtId="213" formatCode="[$EUR]\ #,##0.00"/>
    </dxf>
    <dxf>
      <numFmt numFmtId="203" formatCode="[$HUF]\ #,##0.00"/>
    </dxf>
    <dxf>
      <numFmt numFmtId="211" formatCode="[$DKK]\ #,##0.00"/>
    </dxf>
    <dxf>
      <numFmt numFmtId="207" formatCode="[$GBP]\ #,##0.00"/>
    </dxf>
    <dxf>
      <numFmt numFmtId="212" formatCode="&quot;CHF&quot;\ #,##0.00"/>
    </dxf>
    <dxf>
      <numFmt numFmtId="213" formatCode="[$EUR]\ #,##0.00"/>
    </dxf>
    <dxf>
      <numFmt numFmtId="203" formatCode="[$HUF]\ #,##0.00"/>
    </dxf>
    <dxf>
      <numFmt numFmtId="211" formatCode="[$DKK]\ #,##0.00"/>
    </dxf>
    <dxf>
      <numFmt numFmtId="207" formatCode="[$GBP]\ #,##0.00"/>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numFmt numFmtId="209" formatCode="&quot;Fr.&quot;\ #,##0.00"/>
    </dxf>
    <dxf>
      <numFmt numFmtId="210" formatCode="#,##0.00\ [$€-407]"/>
    </dxf>
    <dxf>
      <fill>
        <patternFill>
          <bgColor indexed="11"/>
        </patternFill>
      </fill>
    </dxf>
    <dxf>
      <fill>
        <patternFill>
          <bgColor indexed="10"/>
        </patternFill>
      </fill>
    </dxf>
    <dxf>
      <numFmt numFmtId="209" formatCode="&quot;Fr.&quot;\ #,##0.00"/>
    </dxf>
    <dxf>
      <numFmt numFmtId="210" formatCode="#,##0.00\ [$€-407]"/>
    </dxf>
    <dxf>
      <numFmt numFmtId="209" formatCode="&quot;Fr.&quot;\ #,##0.00"/>
    </dxf>
    <dxf>
      <numFmt numFmtId="210" formatCode="#,##0.00\ [$€-407]"/>
    </dxf>
    <dxf>
      <numFmt numFmtId="209" formatCode="&quot;Fr.&quot;\ #,##0.00"/>
    </dxf>
    <dxf>
      <numFmt numFmtId="210" formatCode="#,##0.00\ [$€-407]"/>
    </dxf>
    <dxf>
      <fill>
        <patternFill>
          <bgColor indexed="11"/>
        </patternFill>
      </fill>
    </dxf>
    <dxf>
      <fill>
        <patternFill>
          <bgColor indexed="10"/>
        </patternFill>
      </fill>
    </dxf>
    <dxf>
      <fill>
        <patternFill>
          <bgColor indexed="11"/>
        </patternFill>
      </fill>
    </dxf>
    <dxf>
      <fill>
        <patternFill>
          <bgColor indexed="10"/>
        </patternFill>
      </fill>
    </dxf>
    <dxf>
      <numFmt numFmtId="212" formatCode="&quot;CHF&quot;\ #,##0.00"/>
    </dxf>
    <dxf>
      <numFmt numFmtId="213" formatCode="[$EUR]\ #,##0.00"/>
    </dxf>
    <dxf>
      <numFmt numFmtId="203" formatCode="[$HUF]\ #,##0.00"/>
    </dxf>
    <dxf>
      <numFmt numFmtId="211" formatCode="[$DKK]\ #,##0.00"/>
    </dxf>
    <dxf>
      <numFmt numFmtId="207" formatCode="[$GBP]\ #,##0.00"/>
    </dxf>
    <dxf>
      <numFmt numFmtId="209" formatCode="&quot;Fr.&quot;\ #,##0.00"/>
    </dxf>
    <dxf>
      <numFmt numFmtId="210" formatCode="#,##0.00\ [$€-407]"/>
    </dxf>
    <dxf>
      <fill>
        <patternFill>
          <bgColor indexed="11"/>
        </patternFill>
      </fill>
    </dxf>
    <dxf>
      <fill>
        <patternFill>
          <bgColor indexed="10"/>
        </patternFill>
      </fill>
    </dxf>
    <dxf>
      <fill>
        <patternFill>
          <bgColor indexed="11"/>
        </patternFill>
      </fill>
    </dxf>
    <dxf>
      <fill>
        <patternFill>
          <bgColor indexed="10"/>
        </patternFill>
      </fill>
    </dxf>
  </dxfs>
  <tableStyles count="0" defaultTableStyle="TableStyleMedium2" defaultPivotStyle="PivotStyleLight16"/>
  <colors>
    <mruColors>
      <color rgb="FFFF99CC"/>
      <color rgb="FFFFFFCC"/>
      <color rgb="FF99FF99"/>
      <color rgb="FFFF3399"/>
      <color rgb="FF99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612242598427069"/>
          <c:y val="0.11927674440490792"/>
          <c:w val="0.4691750076347832"/>
          <c:h val="0.8017331935774793"/>
        </c:manualLayout>
      </c:layout>
      <c:barChart>
        <c:barDir val="col"/>
        <c:grouping val="stacked"/>
        <c:varyColors val="0"/>
        <c:ser>
          <c:idx val="0"/>
          <c:order val="0"/>
          <c:tx>
            <c:strRef>
              <c:f>Results!$G$27</c:f>
              <c:strCache>
                <c:ptCount val="1"/>
                <c:pt idx="0">
                  <c:v>Infrastructure</c:v>
                </c:pt>
              </c:strCache>
            </c:strRef>
          </c:tx>
          <c:spPr>
            <a:solidFill>
              <a:schemeClr val="accent1"/>
            </a:solidFill>
            <a:ln>
              <a:noFill/>
            </a:ln>
            <a:effectLst/>
          </c:spPr>
          <c:invertIfNegative val="0"/>
          <c:cat>
            <c:strRef>
              <c:f>(Results!$G$26,Results!$G$51)</c:f>
              <c:strCache>
                <c:ptCount val="2"/>
                <c:pt idx="0">
                  <c:v>0</c:v>
                </c:pt>
                <c:pt idx="1">
                  <c:v>Total, naturemade star test value</c:v>
                </c:pt>
              </c:strCache>
            </c:strRef>
          </c:cat>
          <c:val>
            <c:numRef>
              <c:f>Results!$H$27:$I$27</c:f>
              <c:numCache>
                <c:formatCode>_ * #,##0_ ;_ * \-#,##0_ ;_ * "-"??_ ;_ @_ </c:formatCode>
                <c:ptCount val="2"/>
                <c:pt idx="0">
                  <c:v>#N/A</c:v>
                </c:pt>
              </c:numCache>
            </c:numRef>
          </c:val>
          <c:extLst>
            <c:ext xmlns:c16="http://schemas.microsoft.com/office/drawing/2014/chart" uri="{C3380CC4-5D6E-409C-BE32-E72D297353CC}">
              <c16:uniqueId val="{00000000-04CC-42F0-BED8-9023FB05568D}"/>
            </c:ext>
          </c:extLst>
        </c:ser>
        <c:ser>
          <c:idx val="1"/>
          <c:order val="1"/>
          <c:tx>
            <c:strRef>
              <c:f>Results!$G$28</c:f>
              <c:strCache>
                <c:ptCount val="1"/>
                <c:pt idx="0">
                  <c:v>External energy demand</c:v>
                </c:pt>
              </c:strCache>
            </c:strRef>
          </c:tx>
          <c:spPr>
            <a:solidFill>
              <a:schemeClr val="bg1">
                <a:lumMod val="75000"/>
              </a:schemeClr>
            </a:solidFill>
            <a:ln>
              <a:noFill/>
            </a:ln>
            <a:effectLst/>
          </c:spPr>
          <c:invertIfNegative val="0"/>
          <c:cat>
            <c:strRef>
              <c:f>(Results!$G$26,Results!$G$51)</c:f>
              <c:strCache>
                <c:ptCount val="2"/>
                <c:pt idx="0">
                  <c:v>0</c:v>
                </c:pt>
                <c:pt idx="1">
                  <c:v>Total, naturemade star test value</c:v>
                </c:pt>
              </c:strCache>
            </c:strRef>
          </c:cat>
          <c:val>
            <c:numRef>
              <c:f>Results!$H$28:$I$28</c:f>
              <c:numCache>
                <c:formatCode>_ * #,##0_ ;_ * \-#,##0_ ;_ * "-"??_ ;_ @_ </c:formatCode>
                <c:ptCount val="2"/>
                <c:pt idx="0">
                  <c:v>#N/A</c:v>
                </c:pt>
              </c:numCache>
            </c:numRef>
          </c:val>
          <c:extLst>
            <c:ext xmlns:c16="http://schemas.microsoft.com/office/drawing/2014/chart" uri="{C3380CC4-5D6E-409C-BE32-E72D297353CC}">
              <c16:uniqueId val="{00000001-04CC-42F0-BED8-9023FB05568D}"/>
            </c:ext>
          </c:extLst>
        </c:ser>
        <c:ser>
          <c:idx val="2"/>
          <c:order val="2"/>
          <c:tx>
            <c:strRef>
              <c:f>Results!$G$29</c:f>
              <c:strCache>
                <c:ptCount val="1"/>
                <c:pt idx="0">
                  <c:v>Purchased substrates</c:v>
                </c:pt>
              </c:strCache>
            </c:strRef>
          </c:tx>
          <c:spPr>
            <a:solidFill>
              <a:schemeClr val="accent3"/>
            </a:solidFill>
            <a:ln>
              <a:noFill/>
            </a:ln>
            <a:effectLst/>
          </c:spPr>
          <c:invertIfNegative val="0"/>
          <c:cat>
            <c:strRef>
              <c:f>(Results!$G$26,Results!$G$51)</c:f>
              <c:strCache>
                <c:ptCount val="2"/>
                <c:pt idx="0">
                  <c:v>0</c:v>
                </c:pt>
                <c:pt idx="1">
                  <c:v>Total, naturemade star test value</c:v>
                </c:pt>
              </c:strCache>
            </c:strRef>
          </c:cat>
          <c:val>
            <c:numRef>
              <c:f>Results!$H$29:$I$29</c:f>
              <c:numCache>
                <c:formatCode>_ * #,##0_ ;_ * \-#,##0_ ;_ * "-"??_ ;_ @_ </c:formatCode>
                <c:ptCount val="2"/>
                <c:pt idx="0">
                  <c:v>0</c:v>
                </c:pt>
              </c:numCache>
            </c:numRef>
          </c:val>
          <c:extLst>
            <c:ext xmlns:c16="http://schemas.microsoft.com/office/drawing/2014/chart" uri="{C3380CC4-5D6E-409C-BE32-E72D297353CC}">
              <c16:uniqueId val="{00000002-04CC-42F0-BED8-9023FB05568D}"/>
            </c:ext>
          </c:extLst>
        </c:ser>
        <c:ser>
          <c:idx val="3"/>
          <c:order val="3"/>
          <c:tx>
            <c:strRef>
              <c:f>Results!$G$30</c:f>
              <c:strCache>
                <c:ptCount val="1"/>
                <c:pt idx="0">
                  <c:v>Direct emissions (e.g. slurry storage, post-rotting)</c:v>
                </c:pt>
              </c:strCache>
            </c:strRef>
          </c:tx>
          <c:spPr>
            <a:solidFill>
              <a:schemeClr val="accent6">
                <a:lumMod val="75000"/>
              </a:schemeClr>
            </a:solidFill>
            <a:ln>
              <a:noFill/>
            </a:ln>
            <a:effectLst/>
          </c:spPr>
          <c:invertIfNegative val="0"/>
          <c:cat>
            <c:strRef>
              <c:f>(Results!$G$26,Results!$G$51)</c:f>
              <c:strCache>
                <c:ptCount val="2"/>
                <c:pt idx="0">
                  <c:v>0</c:v>
                </c:pt>
                <c:pt idx="1">
                  <c:v>Total, naturemade star test value</c:v>
                </c:pt>
              </c:strCache>
            </c:strRef>
          </c:cat>
          <c:val>
            <c:numRef>
              <c:f>Results!$H$30:$I$30</c:f>
              <c:numCache>
                <c:formatCode>_ * #,##0_ ;_ * \-#,##0_ ;_ * "-"??_ ;_ @_ </c:formatCode>
                <c:ptCount val="2"/>
                <c:pt idx="0">
                  <c:v>#N/A</c:v>
                </c:pt>
              </c:numCache>
            </c:numRef>
          </c:val>
          <c:extLst>
            <c:ext xmlns:c16="http://schemas.microsoft.com/office/drawing/2014/chart" uri="{C3380CC4-5D6E-409C-BE32-E72D297353CC}">
              <c16:uniqueId val="{00000003-04CC-42F0-BED8-9023FB05568D}"/>
            </c:ext>
          </c:extLst>
        </c:ser>
        <c:ser>
          <c:idx val="4"/>
          <c:order val="4"/>
          <c:tx>
            <c:strRef>
              <c:f>Results!$G$31</c:f>
              <c:strCache>
                <c:ptCount val="1"/>
                <c:pt idx="0">
                  <c:v>Transports</c:v>
                </c:pt>
              </c:strCache>
            </c:strRef>
          </c:tx>
          <c:spPr>
            <a:solidFill>
              <a:schemeClr val="tx1">
                <a:lumMod val="50000"/>
                <a:lumOff val="50000"/>
              </a:schemeClr>
            </a:solidFill>
            <a:ln>
              <a:noFill/>
            </a:ln>
            <a:effectLst/>
          </c:spPr>
          <c:invertIfNegative val="0"/>
          <c:cat>
            <c:strRef>
              <c:f>(Results!$G$26,Results!$G$51)</c:f>
              <c:strCache>
                <c:ptCount val="2"/>
                <c:pt idx="0">
                  <c:v>0</c:v>
                </c:pt>
                <c:pt idx="1">
                  <c:v>Total, naturemade star test value</c:v>
                </c:pt>
              </c:strCache>
            </c:strRef>
          </c:cat>
          <c:val>
            <c:numRef>
              <c:f>Results!$H$31:$I$31</c:f>
              <c:numCache>
                <c:formatCode>_ * #,##0_ ;_ * \-#,##0_ ;_ * "-"??_ ;_ @_ </c:formatCode>
                <c:ptCount val="2"/>
                <c:pt idx="0">
                  <c:v>0</c:v>
                </c:pt>
              </c:numCache>
            </c:numRef>
          </c:val>
          <c:extLst>
            <c:ext xmlns:c16="http://schemas.microsoft.com/office/drawing/2014/chart" uri="{C3380CC4-5D6E-409C-BE32-E72D297353CC}">
              <c16:uniqueId val="{00000004-04CC-42F0-BED8-9023FB05568D}"/>
            </c:ext>
          </c:extLst>
        </c:ser>
        <c:ser>
          <c:idx val="5"/>
          <c:order val="5"/>
          <c:tx>
            <c:strRef>
              <c:f>Results!$G$32</c:f>
              <c:strCache>
                <c:ptCount val="1"/>
                <c:pt idx="0">
                  <c:v>Biogas losses (methane slip, treatment, interruptions)</c:v>
                </c:pt>
              </c:strCache>
            </c:strRef>
          </c:tx>
          <c:spPr>
            <a:solidFill>
              <a:schemeClr val="tx2">
                <a:lumMod val="60000"/>
                <a:lumOff val="40000"/>
              </a:schemeClr>
            </a:solidFill>
            <a:ln>
              <a:noFill/>
            </a:ln>
            <a:effectLst/>
          </c:spPr>
          <c:invertIfNegative val="0"/>
          <c:cat>
            <c:strRef>
              <c:f>(Results!$G$26,Results!$G$51)</c:f>
              <c:strCache>
                <c:ptCount val="2"/>
                <c:pt idx="0">
                  <c:v>0</c:v>
                </c:pt>
                <c:pt idx="1">
                  <c:v>Total, naturemade star test value</c:v>
                </c:pt>
              </c:strCache>
            </c:strRef>
          </c:cat>
          <c:val>
            <c:numRef>
              <c:f>Results!$H$32:$I$32</c:f>
              <c:numCache>
                <c:formatCode>_ * #,##0_ ;_ * \-#,##0_ ;_ * "-"??_ ;_ @_ </c:formatCode>
                <c:ptCount val="2"/>
                <c:pt idx="0">
                  <c:v>0</c:v>
                </c:pt>
              </c:numCache>
            </c:numRef>
          </c:val>
          <c:extLst>
            <c:ext xmlns:c16="http://schemas.microsoft.com/office/drawing/2014/chart" uri="{C3380CC4-5D6E-409C-BE32-E72D297353CC}">
              <c16:uniqueId val="{00000005-04CC-42F0-BED8-9023FB05568D}"/>
            </c:ext>
          </c:extLst>
        </c:ser>
        <c:ser>
          <c:idx val="6"/>
          <c:order val="6"/>
          <c:tx>
            <c:strRef>
              <c:f>Results!$G$33</c:f>
              <c:strCache>
                <c:ptCount val="1"/>
                <c:pt idx="0">
                  <c:v>Biomethane: sales and consumption outside the plant (11.4 kWh Ho/m3)</c:v>
                </c:pt>
              </c:strCache>
            </c:strRef>
          </c:tx>
          <c:spPr>
            <a:solidFill>
              <a:schemeClr val="accent3">
                <a:lumMod val="75000"/>
              </a:schemeClr>
            </a:solidFill>
            <a:ln>
              <a:noFill/>
            </a:ln>
            <a:effectLst/>
          </c:spPr>
          <c:invertIfNegative val="0"/>
          <c:cat>
            <c:strRef>
              <c:f>(Results!$G$26,Results!$G$51)</c:f>
              <c:strCache>
                <c:ptCount val="2"/>
                <c:pt idx="0">
                  <c:v>0</c:v>
                </c:pt>
                <c:pt idx="1">
                  <c:v>Total, naturemade star test value</c:v>
                </c:pt>
              </c:strCache>
            </c:strRef>
          </c:cat>
          <c:val>
            <c:numRef>
              <c:f>Results!$H$33:$I$33</c:f>
              <c:numCache>
                <c:formatCode>_ * #,##0_ ;_ * \-#,##0_ ;_ * "-"??_ ;_ @_ </c:formatCode>
                <c:ptCount val="2"/>
                <c:pt idx="0">
                  <c:v>0</c:v>
                </c:pt>
              </c:numCache>
            </c:numRef>
          </c:val>
          <c:extLst>
            <c:ext xmlns:c16="http://schemas.microsoft.com/office/drawing/2014/chart" uri="{C3380CC4-5D6E-409C-BE32-E72D297353CC}">
              <c16:uniqueId val="{00000006-04CC-42F0-BED8-9023FB05568D}"/>
            </c:ext>
          </c:extLst>
        </c:ser>
        <c:ser>
          <c:idx val="7"/>
          <c:order val="7"/>
          <c:tx>
            <c:strRef>
              <c:f>Results!$G$34</c:f>
              <c:strCache>
                <c:ptCount val="1"/>
                <c:pt idx="0">
                  <c:v>Biogas: sale and consumption outside the plant (6.5 kWh Ho/m3)</c:v>
                </c:pt>
              </c:strCache>
            </c:strRef>
          </c:tx>
          <c:spPr>
            <a:solidFill>
              <a:srgbClr val="FF99CC"/>
            </a:solidFill>
            <a:ln>
              <a:noFill/>
            </a:ln>
            <a:effectLst/>
          </c:spPr>
          <c:invertIfNegative val="0"/>
          <c:cat>
            <c:strRef>
              <c:f>(Results!$G$26,Results!$G$51)</c:f>
              <c:strCache>
                <c:ptCount val="2"/>
                <c:pt idx="0">
                  <c:v>0</c:v>
                </c:pt>
                <c:pt idx="1">
                  <c:v>Total, naturemade star test value</c:v>
                </c:pt>
              </c:strCache>
            </c:strRef>
          </c:cat>
          <c:val>
            <c:numRef>
              <c:f>Results!$H$34:$I$34</c:f>
              <c:numCache>
                <c:formatCode>_ * #,##0_ ;_ * \-#,##0_ ;_ * "-"??_ ;_ @_ </c:formatCode>
                <c:ptCount val="2"/>
                <c:pt idx="0">
                  <c:v>0</c:v>
                </c:pt>
              </c:numCache>
            </c:numRef>
          </c:val>
          <c:extLst>
            <c:ext xmlns:c16="http://schemas.microsoft.com/office/drawing/2014/chart" uri="{C3380CC4-5D6E-409C-BE32-E72D297353CC}">
              <c16:uniqueId val="{00000007-04CC-42F0-BED8-9023FB05568D}"/>
            </c:ext>
          </c:extLst>
        </c:ser>
        <c:ser>
          <c:idx val="8"/>
          <c:order val="8"/>
          <c:tx>
            <c:strRef>
              <c:f>Results!$G$35</c:f>
              <c:strCache>
                <c:ptCount val="1"/>
                <c:pt idx="0">
                  <c:v>Incineration</c:v>
                </c:pt>
              </c:strCache>
            </c:strRef>
          </c:tx>
          <c:spPr>
            <a:solidFill>
              <a:srgbClr val="FF0000"/>
            </a:solidFill>
            <a:ln>
              <a:noFill/>
            </a:ln>
            <a:effectLst/>
          </c:spPr>
          <c:invertIfNegative val="0"/>
          <c:cat>
            <c:strRef>
              <c:f>(Results!$G$26,Results!$G$51)</c:f>
              <c:strCache>
                <c:ptCount val="2"/>
                <c:pt idx="0">
                  <c:v>0</c:v>
                </c:pt>
                <c:pt idx="1">
                  <c:v>Total, naturemade star test value</c:v>
                </c:pt>
              </c:strCache>
            </c:strRef>
          </c:cat>
          <c:val>
            <c:numRef>
              <c:f>Results!$H$35:$I$35</c:f>
              <c:numCache>
                <c:formatCode>_ * #,##0_ ;_ * \-#,##0_ ;_ * "-"??_ ;_ @_ </c:formatCode>
                <c:ptCount val="2"/>
                <c:pt idx="0">
                  <c:v>0</c:v>
                </c:pt>
              </c:numCache>
            </c:numRef>
          </c:val>
          <c:extLst>
            <c:ext xmlns:c16="http://schemas.microsoft.com/office/drawing/2014/chart" uri="{C3380CC4-5D6E-409C-BE32-E72D297353CC}">
              <c16:uniqueId val="{00000008-04CC-42F0-BED8-9023FB05568D}"/>
            </c:ext>
          </c:extLst>
        </c:ser>
        <c:ser>
          <c:idx val="9"/>
          <c:order val="9"/>
          <c:tx>
            <c:strRef>
              <c:f>Results!$G$36</c:f>
              <c:strCache>
                <c:ptCount val="1"/>
                <c:pt idx="0">
                  <c:v>Treatment and storage of digestate</c:v>
                </c:pt>
              </c:strCache>
            </c:strRef>
          </c:tx>
          <c:spPr>
            <a:solidFill>
              <a:schemeClr val="bg2">
                <a:lumMod val="50000"/>
              </a:schemeClr>
            </a:solidFill>
            <a:ln>
              <a:noFill/>
            </a:ln>
            <a:effectLst/>
          </c:spPr>
          <c:invertIfNegative val="0"/>
          <c:cat>
            <c:strRef>
              <c:f>(Results!$G$26,Results!$G$51)</c:f>
              <c:strCache>
                <c:ptCount val="2"/>
                <c:pt idx="0">
                  <c:v>0</c:v>
                </c:pt>
                <c:pt idx="1">
                  <c:v>Total, naturemade star test value</c:v>
                </c:pt>
              </c:strCache>
            </c:strRef>
          </c:cat>
          <c:val>
            <c:numRef>
              <c:f>Results!$H$36:$I$36</c:f>
              <c:numCache>
                <c:formatCode>_ * #,##0_ ;_ * \-#,##0_ ;_ * "-"??_ ;_ @_ </c:formatCode>
                <c:ptCount val="2"/>
                <c:pt idx="0">
                  <c:v>#N/A</c:v>
                </c:pt>
              </c:numCache>
            </c:numRef>
          </c:val>
          <c:extLst>
            <c:ext xmlns:c16="http://schemas.microsoft.com/office/drawing/2014/chart" uri="{C3380CC4-5D6E-409C-BE32-E72D297353CC}">
              <c16:uniqueId val="{00000009-04CC-42F0-BED8-9023FB05568D}"/>
            </c:ext>
          </c:extLst>
        </c:ser>
        <c:ser>
          <c:idx val="11"/>
          <c:order val="11"/>
          <c:tx>
            <c:strRef>
              <c:f>Results!$G$51</c:f>
              <c:strCache>
                <c:ptCount val="1"/>
                <c:pt idx="0">
                  <c:v>Total, naturemade star test value</c:v>
                </c:pt>
              </c:strCache>
            </c:strRef>
          </c:tx>
          <c:spPr>
            <a:noFill/>
            <a:ln w="38100">
              <a:solidFill>
                <a:srgbClr val="00B050"/>
              </a:solidFill>
            </a:ln>
            <a:effectLst/>
          </c:spPr>
          <c:invertIfNegative val="0"/>
          <c:dPt>
            <c:idx val="0"/>
            <c:invertIfNegative val="0"/>
            <c:bubble3D val="0"/>
            <c:spPr>
              <a:noFill/>
              <a:ln w="38100">
                <a:solidFill>
                  <a:srgbClr val="00B050"/>
                </a:solidFill>
              </a:ln>
              <a:effectLst/>
            </c:spPr>
            <c:extLst>
              <c:ext xmlns:c16="http://schemas.microsoft.com/office/drawing/2014/chart" uri="{C3380CC4-5D6E-409C-BE32-E72D297353CC}">
                <c16:uniqueId val="{00000001-EED2-40E1-8950-9B2255AD8C42}"/>
              </c:ext>
            </c:extLst>
          </c:dPt>
          <c:cat>
            <c:strRef>
              <c:f>(Results!$G$26,Results!$G$51)</c:f>
              <c:strCache>
                <c:ptCount val="2"/>
                <c:pt idx="0">
                  <c:v>0</c:v>
                </c:pt>
                <c:pt idx="1">
                  <c:v>Total, naturemade star test value</c:v>
                </c:pt>
              </c:strCache>
            </c:strRef>
          </c:cat>
          <c:val>
            <c:numRef>
              <c:f>Results!$G$51:$H$51</c:f>
              <c:numCache>
                <c:formatCode>_ * #,##0_ ;_ * \-#,##0_ ;_ * "-"??_ ;_ @_ </c:formatCode>
                <c:ptCount val="2"/>
                <c:pt idx="0" formatCode="General">
                  <c:v>0</c:v>
                </c:pt>
                <c:pt idx="1">
                  <c:v>#N/A</c:v>
                </c:pt>
              </c:numCache>
            </c:numRef>
          </c:val>
          <c:extLst>
            <c:ext xmlns:c16="http://schemas.microsoft.com/office/drawing/2014/chart" uri="{C3380CC4-5D6E-409C-BE32-E72D297353CC}">
              <c16:uniqueId val="{00000001-8C3C-416A-A7D1-5D6B2ADE4F5A}"/>
            </c:ext>
          </c:extLst>
        </c:ser>
        <c:dLbls>
          <c:showLegendKey val="0"/>
          <c:showVal val="0"/>
          <c:showCatName val="0"/>
          <c:showSerName val="0"/>
          <c:showPercent val="0"/>
          <c:showBubbleSize val="0"/>
        </c:dLbls>
        <c:gapWidth val="100"/>
        <c:overlap val="100"/>
        <c:axId val="719342536"/>
        <c:axId val="719343192"/>
        <c:extLst>
          <c:ext xmlns:c15="http://schemas.microsoft.com/office/drawing/2012/chart" uri="{02D57815-91ED-43cb-92C2-25804820EDAC}">
            <c15:filteredBarSeries>
              <c15:ser>
                <c:idx val="10"/>
                <c:order val="10"/>
                <c:tx>
                  <c:strRef>
                    <c:extLst>
                      <c:ext uri="{02D57815-91ED-43cb-92C2-25804820EDAC}">
                        <c15:formulaRef>
                          <c15:sqref>Results!$G$37</c15:sqref>
                        </c15:formulaRef>
                      </c:ext>
                    </c:extLst>
                    <c:strCache>
                      <c:ptCount val="1"/>
                      <c:pt idx="0">
                        <c:v>Total</c:v>
                      </c:pt>
                    </c:strCache>
                  </c:strRef>
                </c:tx>
                <c:spPr>
                  <a:solidFill>
                    <a:schemeClr val="accent6">
                      <a:lumMod val="75000"/>
                    </a:schemeClr>
                  </a:solidFill>
                  <a:ln w="25400" cap="flat" cmpd="sng" algn="ctr">
                    <a:noFill/>
                    <a:prstDash val="solid"/>
                  </a:ln>
                  <a:effectLst/>
                </c:spPr>
                <c:invertIfNegative val="0"/>
                <c:cat>
                  <c:strRef>
                    <c:extLst>
                      <c:ext uri="{02D57815-91ED-43cb-92C2-25804820EDAC}">
                        <c15:formulaRef>
                          <c15:sqref>(Results!$G$26,Results!$G$51)</c15:sqref>
                        </c15:formulaRef>
                      </c:ext>
                    </c:extLst>
                    <c:strCache>
                      <c:ptCount val="2"/>
                      <c:pt idx="0">
                        <c:v>0</c:v>
                      </c:pt>
                      <c:pt idx="1">
                        <c:v>Total, naturemade star test value</c:v>
                      </c:pt>
                    </c:strCache>
                  </c:strRef>
                </c:cat>
                <c:val>
                  <c:numRef>
                    <c:extLst>
                      <c:ext uri="{02D57815-91ED-43cb-92C2-25804820EDAC}">
                        <c15:formulaRef>
                          <c15:sqref>Results!$H$37:$I$37</c15:sqref>
                        </c15:formulaRef>
                      </c:ext>
                    </c:extLst>
                    <c:numCache>
                      <c:formatCode>_ * #,##0_ ;_ * \-#,##0_ ;_ * "-"??_ ;_ @_ </c:formatCode>
                      <c:ptCount val="2"/>
                      <c:pt idx="0">
                        <c:v>#N/A</c:v>
                      </c:pt>
                    </c:numCache>
                  </c:numRef>
                </c:val>
                <c:extLst>
                  <c:ext xmlns:c16="http://schemas.microsoft.com/office/drawing/2014/chart" uri="{C3380CC4-5D6E-409C-BE32-E72D297353CC}">
                    <c16:uniqueId val="{0000000A-04CC-42F0-BED8-9023FB05568D}"/>
                  </c:ext>
                </c:extLst>
              </c15:ser>
            </c15:filteredBarSeries>
          </c:ext>
        </c:extLst>
      </c:barChart>
      <c:catAx>
        <c:axId val="719342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719343192"/>
        <c:crosses val="autoZero"/>
        <c:auto val="1"/>
        <c:lblAlgn val="ctr"/>
        <c:lblOffset val="100"/>
        <c:noMultiLvlLbl val="0"/>
      </c:catAx>
      <c:valAx>
        <c:axId val="719343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Eco-Indicator 99 (H,A) points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719342536"/>
        <c:crosses val="autoZero"/>
        <c:crossBetween val="between"/>
      </c:valAx>
      <c:spPr>
        <a:noFill/>
        <a:ln>
          <a:noFill/>
        </a:ln>
        <a:effectLst/>
      </c:spPr>
    </c:plotArea>
    <c:legend>
      <c:legendPos val="b"/>
      <c:layout>
        <c:manualLayout>
          <c:xMode val="edge"/>
          <c:yMode val="edge"/>
          <c:x val="0.64035370531351399"/>
          <c:y val="0.15517738667983449"/>
          <c:w val="0.35964628651217118"/>
          <c:h val="0.6888669349101370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0"/>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253085158686148E-2"/>
          <c:y val="1.3315587885155656E-2"/>
          <c:w val="0.88046174672626332"/>
          <c:h val="0.88548659436285104"/>
        </c:manualLayout>
      </c:layout>
      <c:barChart>
        <c:barDir val="col"/>
        <c:grouping val="stacked"/>
        <c:varyColors val="0"/>
        <c:ser>
          <c:idx val="8"/>
          <c:order val="0"/>
          <c:tx>
            <c:strRef>
              <c:f>PrüfungBM!$K$6</c:f>
              <c:strCache>
                <c:ptCount val="1"/>
                <c:pt idx="0">
                  <c:v>0</c:v>
                </c:pt>
              </c:strCache>
            </c:strRef>
          </c:tx>
          <c:spPr>
            <a:solidFill>
              <a:srgbClr val="99CCFF"/>
            </a:solidFill>
            <a:ln w="12700">
              <a:solidFill>
                <a:srgbClr val="000000"/>
              </a:solidFill>
              <a:prstDash val="solid"/>
            </a:ln>
          </c:spPr>
          <c:invertIfNegative val="0"/>
          <c:cat>
            <c:strRef>
              <c:f>PrüfungBM!$L$5</c:f>
              <c:strCache>
                <c:ptCount val="1"/>
                <c:pt idx="0">
                  <c:v>Test</c:v>
                </c:pt>
              </c:strCache>
            </c:strRef>
          </c:cat>
          <c:val>
            <c:numRef>
              <c:f>PrüfungBM!$L$6:$M$6</c:f>
              <c:numCache>
                <c:formatCode>_ * #,##0_ ;_ * \-#,##0_ ;_ * "-"??_ ;_ @_ </c:formatCode>
                <c:ptCount val="2"/>
                <c:pt idx="0">
                  <c:v>0</c:v>
                </c:pt>
              </c:numCache>
            </c:numRef>
          </c:val>
          <c:extLst>
            <c:ext xmlns:c16="http://schemas.microsoft.com/office/drawing/2014/chart" uri="{C3380CC4-5D6E-409C-BE32-E72D297353CC}">
              <c16:uniqueId val="{00000000-9951-4C1E-AB15-FC4051AEBC19}"/>
            </c:ext>
          </c:extLst>
        </c:ser>
        <c:ser>
          <c:idx val="0"/>
          <c:order val="1"/>
          <c:tx>
            <c:strRef>
              <c:f>PrüfungBM!$K$7</c:f>
              <c:strCache>
                <c:ptCount val="1"/>
                <c:pt idx="0">
                  <c:v>0</c:v>
                </c:pt>
              </c:strCache>
            </c:strRef>
          </c:tx>
          <c:spPr>
            <a:solidFill>
              <a:srgbClr val="00FF00"/>
            </a:solidFill>
            <a:ln w="12700">
              <a:solidFill>
                <a:srgbClr val="000000"/>
              </a:solidFill>
              <a:prstDash val="solid"/>
            </a:ln>
          </c:spPr>
          <c:invertIfNegative val="0"/>
          <c:cat>
            <c:strRef>
              <c:f>PrüfungBM!$L$5</c:f>
              <c:strCache>
                <c:ptCount val="1"/>
                <c:pt idx="0">
                  <c:v>Test</c:v>
                </c:pt>
              </c:strCache>
            </c:strRef>
          </c:cat>
          <c:val>
            <c:numRef>
              <c:f>PrüfungBM!$L$7:$M$7</c:f>
              <c:numCache>
                <c:formatCode>_ * #,##0_ ;_ * \-#,##0_ ;_ * "-"??_ ;_ @_ </c:formatCode>
                <c:ptCount val="2"/>
                <c:pt idx="0">
                  <c:v>0</c:v>
                </c:pt>
              </c:numCache>
            </c:numRef>
          </c:val>
          <c:extLst>
            <c:ext xmlns:c16="http://schemas.microsoft.com/office/drawing/2014/chart" uri="{C3380CC4-5D6E-409C-BE32-E72D297353CC}">
              <c16:uniqueId val="{00000001-9951-4C1E-AB15-FC4051AEBC19}"/>
            </c:ext>
          </c:extLst>
        </c:ser>
        <c:ser>
          <c:idx val="3"/>
          <c:order val="2"/>
          <c:tx>
            <c:strRef>
              <c:f>PrüfungBM!$K$8</c:f>
              <c:strCache>
                <c:ptCount val="1"/>
                <c:pt idx="0">
                  <c:v>0</c:v>
                </c:pt>
              </c:strCache>
            </c:strRef>
          </c:tx>
          <c:spPr>
            <a:solidFill>
              <a:schemeClr val="accent3">
                <a:lumMod val="60000"/>
                <a:lumOff val="40000"/>
              </a:schemeClr>
            </a:solidFill>
          </c:spPr>
          <c:invertIfNegative val="0"/>
          <c:cat>
            <c:strRef>
              <c:f>PrüfungBM!$L$5</c:f>
              <c:strCache>
                <c:ptCount val="1"/>
                <c:pt idx="0">
                  <c:v>Test</c:v>
                </c:pt>
              </c:strCache>
            </c:strRef>
          </c:cat>
          <c:val>
            <c:numRef>
              <c:f>PrüfungBM!$L$8</c:f>
              <c:numCache>
                <c:formatCode>_ * #,##0_ ;_ * \-#,##0_ ;_ * "-"??_ ;_ @_ </c:formatCode>
                <c:ptCount val="1"/>
                <c:pt idx="0">
                  <c:v>0</c:v>
                </c:pt>
              </c:numCache>
            </c:numRef>
          </c:val>
          <c:extLst>
            <c:ext xmlns:c16="http://schemas.microsoft.com/office/drawing/2014/chart" uri="{C3380CC4-5D6E-409C-BE32-E72D297353CC}">
              <c16:uniqueId val="{00000002-9951-4C1E-AB15-FC4051AEBC19}"/>
            </c:ext>
          </c:extLst>
        </c:ser>
        <c:ser>
          <c:idx val="1"/>
          <c:order val="3"/>
          <c:tx>
            <c:strRef>
              <c:f>PrüfungBM!$K$9</c:f>
              <c:strCache>
                <c:ptCount val="1"/>
                <c:pt idx="0">
                  <c:v>0</c:v>
                </c:pt>
              </c:strCache>
            </c:strRef>
          </c:tx>
          <c:spPr>
            <a:solidFill>
              <a:srgbClr val="FF0000"/>
            </a:solidFill>
            <a:ln w="12700">
              <a:solidFill>
                <a:srgbClr val="000000"/>
              </a:solidFill>
              <a:prstDash val="solid"/>
            </a:ln>
          </c:spPr>
          <c:invertIfNegative val="0"/>
          <c:cat>
            <c:strRef>
              <c:f>PrüfungBM!$L$5</c:f>
              <c:strCache>
                <c:ptCount val="1"/>
                <c:pt idx="0">
                  <c:v>Test</c:v>
                </c:pt>
              </c:strCache>
            </c:strRef>
          </c:cat>
          <c:val>
            <c:numRef>
              <c:f>PrüfungBM!$L$9:$M$9</c:f>
              <c:numCache>
                <c:formatCode>_ * #,##0_ ;_ * \-#,##0_ ;_ * "-"??_ ;_ @_ </c:formatCode>
                <c:ptCount val="2"/>
                <c:pt idx="0">
                  <c:v>6.5071313039262845E-3</c:v>
                </c:pt>
              </c:numCache>
            </c:numRef>
          </c:val>
          <c:extLst>
            <c:ext xmlns:c16="http://schemas.microsoft.com/office/drawing/2014/chart" uri="{C3380CC4-5D6E-409C-BE32-E72D297353CC}">
              <c16:uniqueId val="{00000003-9951-4C1E-AB15-FC4051AEBC19}"/>
            </c:ext>
          </c:extLst>
        </c:ser>
        <c:ser>
          <c:idx val="2"/>
          <c:order val="4"/>
          <c:tx>
            <c:strRef>
              <c:f>PrüfungBM!$K$10</c:f>
              <c:strCache>
                <c:ptCount val="1"/>
                <c:pt idx="0">
                  <c:v>0</c:v>
                </c:pt>
              </c:strCache>
            </c:strRef>
          </c:tx>
          <c:spPr>
            <a:solidFill>
              <a:srgbClr val="0000FF"/>
            </a:solidFill>
            <a:ln w="12700">
              <a:solidFill>
                <a:srgbClr val="000000"/>
              </a:solidFill>
              <a:prstDash val="solid"/>
            </a:ln>
          </c:spPr>
          <c:invertIfNegative val="0"/>
          <c:cat>
            <c:strRef>
              <c:f>PrüfungBM!$L$5</c:f>
              <c:strCache>
                <c:ptCount val="1"/>
                <c:pt idx="0">
                  <c:v>Test</c:v>
                </c:pt>
              </c:strCache>
            </c:strRef>
          </c:cat>
          <c:val>
            <c:numRef>
              <c:f>PrüfungBM!$L$10:$M$10</c:f>
              <c:numCache>
                <c:formatCode>General</c:formatCode>
                <c:ptCount val="2"/>
                <c:pt idx="0" formatCode="_ * #,##0_ ;_ * \-#,##0_ ;_ * &quot;-&quot;??_ ;_ @_ ">
                  <c:v>0</c:v>
                </c:pt>
              </c:numCache>
            </c:numRef>
          </c:val>
          <c:extLst>
            <c:ext xmlns:c16="http://schemas.microsoft.com/office/drawing/2014/chart" uri="{C3380CC4-5D6E-409C-BE32-E72D297353CC}">
              <c16:uniqueId val="{00000004-9951-4C1E-AB15-FC4051AEBC19}"/>
            </c:ext>
          </c:extLst>
        </c:ser>
        <c:ser>
          <c:idx val="4"/>
          <c:order val="5"/>
          <c:tx>
            <c:strRef>
              <c:f>PrüfungBM!$K$11</c:f>
              <c:strCache>
                <c:ptCount val="1"/>
                <c:pt idx="0">
                  <c:v>0</c:v>
                </c:pt>
              </c:strCache>
            </c:strRef>
          </c:tx>
          <c:spPr>
            <a:solidFill>
              <a:srgbClr val="FFFF99"/>
            </a:solidFill>
            <a:ln w="12700">
              <a:solidFill>
                <a:srgbClr val="000000"/>
              </a:solidFill>
              <a:prstDash val="solid"/>
            </a:ln>
          </c:spPr>
          <c:invertIfNegative val="0"/>
          <c:cat>
            <c:strRef>
              <c:f>PrüfungBM!$L$5</c:f>
              <c:strCache>
                <c:ptCount val="1"/>
                <c:pt idx="0">
                  <c:v>Test</c:v>
                </c:pt>
              </c:strCache>
            </c:strRef>
          </c:cat>
          <c:val>
            <c:numRef>
              <c:f>PrüfungBM!$L$11:$M$11</c:f>
              <c:numCache>
                <c:formatCode>_ * #,##0_ ;_ * \-#,##0_ ;_ * "-"??_ ;_ @_ </c:formatCode>
                <c:ptCount val="2"/>
                <c:pt idx="1">
                  <c:v>0</c:v>
                </c:pt>
              </c:numCache>
            </c:numRef>
          </c:val>
          <c:extLst>
            <c:ext xmlns:c16="http://schemas.microsoft.com/office/drawing/2014/chart" uri="{C3380CC4-5D6E-409C-BE32-E72D297353CC}">
              <c16:uniqueId val="{00000005-9951-4C1E-AB15-FC4051AEBC19}"/>
            </c:ext>
          </c:extLst>
        </c:ser>
        <c:ser>
          <c:idx val="5"/>
          <c:order val="6"/>
          <c:tx>
            <c:strRef>
              <c:f>PrüfungBM!$K$12</c:f>
              <c:strCache>
                <c:ptCount val="1"/>
                <c:pt idx="0">
                  <c:v>0</c:v>
                </c:pt>
              </c:strCache>
            </c:strRef>
          </c:tx>
          <c:spPr>
            <a:solidFill>
              <a:srgbClr val="FF99CC"/>
            </a:solidFill>
            <a:ln w="12700">
              <a:solidFill>
                <a:srgbClr val="000000"/>
              </a:solidFill>
              <a:prstDash val="solid"/>
            </a:ln>
          </c:spPr>
          <c:invertIfNegative val="0"/>
          <c:cat>
            <c:strRef>
              <c:f>PrüfungBM!$L$5</c:f>
              <c:strCache>
                <c:ptCount val="1"/>
                <c:pt idx="0">
                  <c:v>Test</c:v>
                </c:pt>
              </c:strCache>
            </c:strRef>
          </c:cat>
          <c:val>
            <c:numRef>
              <c:f>PrüfungBM!$L$12:$M$12</c:f>
              <c:numCache>
                <c:formatCode>_ * #,##0_ ;_ * \-#,##0_ ;_ * "-"??_ ;_ @_ </c:formatCode>
                <c:ptCount val="2"/>
                <c:pt idx="1">
                  <c:v>0</c:v>
                </c:pt>
              </c:numCache>
            </c:numRef>
          </c:val>
          <c:extLst>
            <c:ext xmlns:c16="http://schemas.microsoft.com/office/drawing/2014/chart" uri="{C3380CC4-5D6E-409C-BE32-E72D297353CC}">
              <c16:uniqueId val="{00000006-9951-4C1E-AB15-FC4051AEBC19}"/>
            </c:ext>
          </c:extLst>
        </c:ser>
        <c:dLbls>
          <c:showLegendKey val="0"/>
          <c:showVal val="0"/>
          <c:showCatName val="0"/>
          <c:showSerName val="0"/>
          <c:showPercent val="0"/>
          <c:showBubbleSize val="0"/>
        </c:dLbls>
        <c:gapWidth val="50"/>
        <c:overlap val="100"/>
        <c:axId val="137399296"/>
        <c:axId val="137401088"/>
      </c:barChart>
      <c:catAx>
        <c:axId val="137399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de-DE"/>
          </a:p>
        </c:txPr>
        <c:crossAx val="137401088"/>
        <c:crosses val="autoZero"/>
        <c:auto val="1"/>
        <c:lblAlgn val="ctr"/>
        <c:lblOffset val="100"/>
        <c:tickMarkSkip val="1"/>
        <c:noMultiLvlLbl val="0"/>
      </c:catAx>
      <c:valAx>
        <c:axId val="137401088"/>
        <c:scaling>
          <c:orientation val="minMax"/>
        </c:scaling>
        <c:delete val="0"/>
        <c:axPos val="l"/>
        <c:majorGridlines>
          <c:spPr>
            <a:ln w="3175">
              <a:solidFill>
                <a:srgbClr val="000000"/>
              </a:solidFill>
              <a:prstDash val="solid"/>
            </a:ln>
          </c:spPr>
        </c:majorGridlines>
        <c:title>
          <c:tx>
            <c:rich>
              <a:bodyPr/>
              <a:lstStyle/>
              <a:p>
                <a:pPr>
                  <a:defRPr/>
                </a:pPr>
                <a:r>
                  <a:rPr lang="de-CH"/>
                  <a:t>Eco-indicator 99 (H,A) pro Jahr</a:t>
                </a:r>
              </a:p>
            </c:rich>
          </c:tx>
          <c:layout>
            <c:manualLayout>
              <c:xMode val="edge"/>
              <c:yMode val="edge"/>
              <c:x val="1.1494252873563218E-2"/>
              <c:y val="0.43275660449234787"/>
            </c:manualLayout>
          </c:layout>
          <c:overlay val="0"/>
          <c:spPr>
            <a:noFill/>
            <a:ln w="25400">
              <a:noFill/>
            </a:ln>
          </c:spPr>
        </c:title>
        <c:numFmt formatCode="_ * #,##0_ ;_ * \-#,##0_ ;_ * &quot;-&quot;??_ ;_ @_ " sourceLinked="1"/>
        <c:majorTickMark val="out"/>
        <c:minorTickMark val="none"/>
        <c:tickLblPos val="nextTo"/>
        <c:spPr>
          <a:ln w="3175">
            <a:solidFill>
              <a:srgbClr val="000000"/>
            </a:solidFill>
            <a:prstDash val="solid"/>
          </a:ln>
        </c:spPr>
        <c:txPr>
          <a:bodyPr rot="0" vert="horz"/>
          <a:lstStyle/>
          <a:p>
            <a:pPr>
              <a:defRPr/>
            </a:pPr>
            <a:endParaRPr lang="de-DE"/>
          </a:p>
        </c:txPr>
        <c:crossAx val="137399296"/>
        <c:crosses val="autoZero"/>
        <c:crossBetween val="between"/>
      </c:valAx>
      <c:dTable>
        <c:showHorzBorder val="1"/>
        <c:showVertBorder val="1"/>
        <c:showOutline val="1"/>
        <c:showKeys val="1"/>
        <c:spPr>
          <a:ln w="3175">
            <a:solidFill>
              <a:srgbClr val="000000"/>
            </a:solidFill>
            <a:prstDash val="solid"/>
          </a:ln>
        </c:spPr>
      </c:dTable>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&amp;Lnaturemade Star Prüfung von Energieprodukten&amp;REnergie aus Vergärung</c:oddHeader>
      <c:oddFooter>&amp;L(c) ESU-services GmbH&amp;Zwww.esu-services.ch&amp;R&amp;N</c:oddFooter>
    </c:headerFooter>
    <c:pageMargins b="0.984251969" l="0.78740157499999996" r="0.78740157499999996" t="0.984251969" header="0.4921259845" footer="0.4921259845"/>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5" dropStyle="combo" dx="16" fmlaLink="$H$21" fmlaRange="menuesBM!F$81:F$85" noThreeD="1" sel="3" val="0"/>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jpe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4229100</xdr:colOff>
      <xdr:row>0</xdr:row>
      <xdr:rowOff>666750</xdr:rowOff>
    </xdr:to>
    <xdr:pic>
      <xdr:nvPicPr>
        <xdr:cNvPr id="5121" name="Picture 1" descr="firmenlogo_gross Kopie">
          <a:extLst>
            <a:ext uri="{FF2B5EF4-FFF2-40B4-BE49-F238E27FC236}">
              <a16:creationId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34" r="4167"/>
        <a:stretch>
          <a:fillRect/>
        </a:stretch>
      </xdr:blipFill>
      <xdr:spPr bwMode="auto">
        <a:xfrm>
          <a:off x="0" y="0"/>
          <a:ext cx="42291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5845969</xdr:colOff>
      <xdr:row>0</xdr:row>
      <xdr:rowOff>27388</xdr:rowOff>
    </xdr:from>
    <xdr:to>
      <xdr:col>6</xdr:col>
      <xdr:colOff>1190</xdr:colOff>
      <xdr:row>0</xdr:row>
      <xdr:rowOff>619818</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45969" y="27388"/>
          <a:ext cx="2787252" cy="5924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10</xdr:col>
      <xdr:colOff>0</xdr:colOff>
      <xdr:row>4</xdr:row>
      <xdr:rowOff>2910</xdr:rowOff>
    </xdr:from>
    <xdr:ext cx="5934973" cy="6936733"/>
    <xdr:graphicFrame macro="">
      <xdr:nvGraphicFramePr>
        <xdr:cNvPr id="2" name="Diagramm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28575</xdr:rowOff>
    </xdr:from>
    <xdr:to>
      <xdr:col>8</xdr:col>
      <xdr:colOff>4143375</xdr:colOff>
      <xdr:row>33</xdr:row>
      <xdr:rowOff>19050</xdr:rowOff>
    </xdr:to>
    <xdr:graphicFrame macro="">
      <xdr:nvGraphicFramePr>
        <xdr:cNvPr id="3" name="Diagramm 14">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2085975</xdr:colOff>
          <xdr:row>16</xdr:row>
          <xdr:rowOff>123825</xdr:rowOff>
        </xdr:from>
        <xdr:to>
          <xdr:col>1</xdr:col>
          <xdr:colOff>3867150</xdr:colOff>
          <xdr:row>17</xdr:row>
          <xdr:rowOff>47625</xdr:rowOff>
        </xdr:to>
        <xdr:sp macro="" textlink="">
          <xdr:nvSpPr>
            <xdr:cNvPr id="17425" name="Drop Down 17" hidden="1">
              <a:extLst>
                <a:ext uri="{63B3BB69-23CF-44E3-9099-C40C66FF867C}">
                  <a14:compatExt spid="_x0000_s17425"/>
                </a:ext>
                <a:ext uri="{FF2B5EF4-FFF2-40B4-BE49-F238E27FC236}">
                  <a16:creationId xmlns:a16="http://schemas.microsoft.com/office/drawing/2014/main" id="{00000000-0008-0000-0F00-00001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38100</xdr:colOff>
      <xdr:row>19</xdr:row>
      <xdr:rowOff>144358</xdr:rowOff>
    </xdr:to>
    <xdr:pic>
      <xdr:nvPicPr>
        <xdr:cNvPr id="2" name="Grafik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896100" cy="3220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400051</xdr:colOff>
      <xdr:row>9</xdr:row>
      <xdr:rowOff>142876</xdr:rowOff>
    </xdr:from>
    <xdr:to>
      <xdr:col>19</xdr:col>
      <xdr:colOff>400051</xdr:colOff>
      <xdr:row>39</xdr:row>
      <xdr:rowOff>47626</xdr:rowOff>
    </xdr:to>
    <xdr:pic>
      <xdr:nvPicPr>
        <xdr:cNvPr id="2" name="Grafik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4972051" y="1276351"/>
          <a:ext cx="7620000" cy="4762500"/>
        </a:xfrm>
        <a:prstGeom prst="rect">
          <a:avLst/>
        </a:prstGeom>
      </xdr:spPr>
    </xdr:pic>
    <xdr:clientData/>
  </xdr:twoCellAnchor>
  <xdr:twoCellAnchor editAs="oneCell">
    <xdr:from>
      <xdr:col>1</xdr:col>
      <xdr:colOff>0</xdr:colOff>
      <xdr:row>16</xdr:row>
      <xdr:rowOff>0</xdr:rowOff>
    </xdr:from>
    <xdr:to>
      <xdr:col>8</xdr:col>
      <xdr:colOff>314325</xdr:colOff>
      <xdr:row>40</xdr:row>
      <xdr:rowOff>114300</xdr:rowOff>
    </xdr:to>
    <xdr:pic>
      <xdr:nvPicPr>
        <xdr:cNvPr id="3" name="Grafik 2" descr="https://veranstaltungen.fnr.de/fileadmin/mp/marktpreise_36.php?_jpg_csimd=1&amp;grafID=8&amp;rohID%5B0%5D=38&amp;rohID%5B1%5D=37">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85950" y="2914650"/>
          <a:ext cx="5524500" cy="400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45</xdr:row>
      <xdr:rowOff>0</xdr:rowOff>
    </xdr:from>
    <xdr:to>
      <xdr:col>7</xdr:col>
      <xdr:colOff>666750</xdr:colOff>
      <xdr:row>68</xdr:row>
      <xdr:rowOff>69056</xdr:rowOff>
    </xdr:to>
    <xdr:pic>
      <xdr:nvPicPr>
        <xdr:cNvPr id="4" name="Grafik 3" descr="Bildergebnis für glycerin preisentwicklung">
          <a:extLst>
            <a:ext uri="{FF2B5EF4-FFF2-40B4-BE49-F238E27FC236}">
              <a16:creationId xmlns:a16="http://schemas.microsoft.com/office/drawing/2014/main" id="{00000000-0008-0000-19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85950" y="7610475"/>
          <a:ext cx="5057775" cy="37933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45</xdr:row>
      <xdr:rowOff>0</xdr:rowOff>
    </xdr:from>
    <xdr:to>
      <xdr:col>14</xdr:col>
      <xdr:colOff>600075</xdr:colOff>
      <xdr:row>67</xdr:row>
      <xdr:rowOff>19050</xdr:rowOff>
    </xdr:to>
    <xdr:pic>
      <xdr:nvPicPr>
        <xdr:cNvPr id="5" name="Grafik 4" descr="Bildergebnis für preisentwicklung biodiesel">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096125" y="7610475"/>
          <a:ext cx="5229225" cy="358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68</xdr:row>
      <xdr:rowOff>0</xdr:rowOff>
    </xdr:from>
    <xdr:to>
      <xdr:col>17</xdr:col>
      <xdr:colOff>133350</xdr:colOff>
      <xdr:row>97</xdr:row>
      <xdr:rowOff>66675</xdr:rowOff>
    </xdr:to>
    <xdr:pic>
      <xdr:nvPicPr>
        <xdr:cNvPr id="6" name="Grafik 5" descr="Biodiesel">
          <a:extLst>
            <a:ext uri="{FF2B5EF4-FFF2-40B4-BE49-F238E27FC236}">
              <a16:creationId xmlns:a16="http://schemas.microsoft.com/office/drawing/2014/main" id="{00000000-0008-0000-19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96125" y="11334750"/>
          <a:ext cx="7048500" cy="476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Users\Admin\Documents\Projekte%20laufend\208%20naturemade%20KWM\EcoSpold\Referenzsysteme\EcoSpold-Referenzsysteme-6.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Kompost"/>
      <sheetName val="Allokation"/>
      <sheetName val="X-Exchange"/>
      <sheetName val="X-Process"/>
      <sheetName val="X-Source"/>
      <sheetName val="X-Person"/>
    </sheetNames>
    <sheetDataSet>
      <sheetData sheetId="0">
        <row r="41">
          <cell r="B41" t="str">
            <v>'[ecoinvent-v2.0-names.xlsx]</v>
          </cell>
        </row>
      </sheetData>
      <sheetData sheetId="1"/>
      <sheetData sheetId="2"/>
      <sheetData sheetId="3"/>
      <sheetData sheetId="4"/>
      <sheetData sheetId="5">
        <row r="2">
          <cell r="D2">
            <v>41</v>
          </cell>
        </row>
      </sheetData>
      <sheetData sheetId="6">
        <row r="2">
          <cell r="D2">
            <v>41</v>
          </cell>
        </row>
      </sheetData>
    </sheetDataSet>
  </externalBook>
</externalLink>
</file>

<file path=xl/persons/person.xml><?xml version="1.0" encoding="utf-8"?>
<personList xmlns="http://schemas.microsoft.com/office/spreadsheetml/2018/threadedcomments" xmlns:x="http://schemas.openxmlformats.org/spreadsheetml/2006/main">
  <person displayName="Niels Jungbluth" id="{0BD54F1C-E96D-4B46-A8C7-75AE1AB19ABC}" userId="Niels Jungbluth" providerId="None"/>
</personList>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4" dT="2020-01-21T14:49:32.87" personId="{0BD54F1C-E96D-4B46-A8C7-75AE1AB19ABC}" id="{B5BFF59B-6171-4985-84B5-C165BCEFFE75}">
    <text>Test für Klärschlamm in Landwirtschaft</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www.naturemade.ch/" TargetMode="External"/><Relationship Id="rId3" Type="http://schemas.openxmlformats.org/officeDocument/2006/relationships/hyperlink" Target="mailto:valentin.graf@naturemade.ch" TargetMode="External"/><Relationship Id="rId7" Type="http://schemas.openxmlformats.org/officeDocument/2006/relationships/hyperlink" Target="mailto:valentin.graf@naturemade.ch" TargetMode="External"/><Relationship Id="rId12" Type="http://schemas.openxmlformats.org/officeDocument/2006/relationships/drawing" Target="../drawings/drawing1.xml"/><Relationship Id="rId2" Type="http://schemas.openxmlformats.org/officeDocument/2006/relationships/hyperlink" Target="http://www.naturemade.ch/" TargetMode="External"/><Relationship Id="rId1" Type="http://schemas.openxmlformats.org/officeDocument/2006/relationships/hyperlink" Target="mailto:jungbluth@esu-services.ch" TargetMode="External"/><Relationship Id="rId6" Type="http://schemas.openxmlformats.org/officeDocument/2006/relationships/hyperlink" Target="mailto:jungbluth@esu-services.ch" TargetMode="External"/><Relationship Id="rId11" Type="http://schemas.openxmlformats.org/officeDocument/2006/relationships/printerSettings" Target="../printerSettings/printerSettings1.bin"/><Relationship Id="rId5" Type="http://schemas.openxmlformats.org/officeDocument/2006/relationships/hyperlink" Target="http://www.esu-services.ch/" TargetMode="External"/><Relationship Id="rId10" Type="http://schemas.openxmlformats.org/officeDocument/2006/relationships/hyperlink" Target="http://www.esu-services.ch/projects/naturemade/" TargetMode="External"/><Relationship Id="rId4" Type="http://schemas.openxmlformats.org/officeDocument/2006/relationships/hyperlink" Target="http://www.esu-services.ch/" TargetMode="External"/><Relationship Id="rId9" Type="http://schemas.openxmlformats.org/officeDocument/2006/relationships/hyperlink" Target="http://www.esu-services.ch/projects/naturemade/"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13.bin"/><Relationship Id="rId5" Type="http://schemas.openxmlformats.org/officeDocument/2006/relationships/comments" Target="../comments6.xml"/><Relationship Id="rId4" Type="http://schemas.openxmlformats.org/officeDocument/2006/relationships/ctrlProp" Target="../ctrlProps/ctrlProp1.xm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esu-services.ch/" TargetMode="External"/></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naturemade.ch/de/unterkategorie-dokumente.html?file=files/Dokumente/Zertifizierung/recources%20star/Oekobilanz-Bericht%20KVA_naturemade%20resources%20star-v3.0.pdf&amp;cid=4062"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mailto:meili@esu-services.ch" TargetMode="External"/><Relationship Id="rId1" Type="http://schemas.openxmlformats.org/officeDocument/2006/relationships/hyperlink" Target="mailto:esu-services@ecoinvent.org" TargetMode="Externa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2"/>
  <sheetViews>
    <sheetView tabSelected="1" topLeftCell="E1" zoomScaleNormal="100" workbookViewId="0">
      <selection activeCell="F7" sqref="F7"/>
    </sheetView>
  </sheetViews>
  <sheetFormatPr baseColWidth="10" defaultColWidth="10.85546875" defaultRowHeight="12.75" outlineLevelCol="1"/>
  <cols>
    <col min="1" max="1" width="52.42578125" style="1034" hidden="1" customWidth="1" outlineLevel="1"/>
    <col min="2" max="4" width="37.140625" style="1034" hidden="1" customWidth="1" outlineLevel="1"/>
    <col min="5" max="5" width="3.5703125" style="1034" customWidth="1" collapsed="1"/>
    <col min="6" max="6" width="129.42578125" style="1041" customWidth="1"/>
    <col min="7" max="16384" width="10.85546875" style="1041"/>
  </cols>
  <sheetData>
    <row r="1" spans="1:6" ht="73.5" customHeight="1">
      <c r="A1" s="825" t="s">
        <v>11</v>
      </c>
      <c r="B1" s="825" t="s">
        <v>1845</v>
      </c>
      <c r="C1" s="825" t="s">
        <v>13</v>
      </c>
      <c r="D1" s="825" t="str" cm="1">
        <f t="array" aca="1" ref="D1:D50" ca="1">OFFSET(A1:A50,0,sprache-1)</f>
        <v>English</v>
      </c>
      <c r="E1" s="828" t="s">
        <v>352</v>
      </c>
    </row>
    <row r="2" spans="1:6" ht="20.25">
      <c r="A2" s="825" t="str">
        <f>MainInput!B2</f>
        <v>naturemade star Prüfung: Energieprodukte aus Biogasanlagen</v>
      </c>
      <c r="B2" s="825" t="str">
        <f>MainInput!C2</f>
        <v>Contrôle naturemade star: production d'énergie de biogaz</v>
      </c>
      <c r="C2" s="825" t="str">
        <f>MainInput!D2</f>
        <v>naturemade star certification: Energy products from biogas plants</v>
      </c>
      <c r="D2" s="825" t="str">
        <f ca="1"/>
        <v>naturemade star certification: Energy products from biogas plants</v>
      </c>
      <c r="E2" s="828" t="s">
        <v>352</v>
      </c>
      <c r="F2" s="1042" t="str">
        <f ca="1">D2</f>
        <v>naturemade star certification: Energy products from biogas plants</v>
      </c>
    </row>
    <row r="3" spans="1:6" ht="26.25">
      <c r="A3" s="825" t="s">
        <v>352</v>
      </c>
      <c r="B3" s="825" t="s">
        <v>352</v>
      </c>
      <c r="C3" s="825" t="s">
        <v>352</v>
      </c>
      <c r="D3" s="825" t="str">
        <f ca="1"/>
        <v/>
      </c>
      <c r="E3" s="828" t="s">
        <v>352</v>
      </c>
      <c r="F3" s="1043" t="str">
        <f t="shared" ref="F3:F50" ca="1" si="0">D3</f>
        <v/>
      </c>
    </row>
    <row r="4" spans="1:6" s="1058" customFormat="1" ht="15.75">
      <c r="A4" s="825" t="s">
        <v>2428</v>
      </c>
      <c r="B4" s="825" t="s">
        <v>2429</v>
      </c>
      <c r="C4" s="825" t="s">
        <v>2430</v>
      </c>
      <c r="D4" s="825" t="str">
        <f ca="1"/>
        <v>Standardised parameter model for testing the global naturemade star criterion</v>
      </c>
      <c r="E4" s="828" t="s">
        <v>352</v>
      </c>
      <c r="F4" s="973" t="str">
        <f t="shared" ca="1" si="0"/>
        <v>Standardised parameter model for testing the global naturemade star criterion</v>
      </c>
    </row>
    <row r="5" spans="1:6" s="1058" customFormat="1">
      <c r="A5" s="828" t="s">
        <v>352</v>
      </c>
      <c r="B5" s="828" t="s">
        <v>352</v>
      </c>
      <c r="C5" s="828" t="s">
        <v>352</v>
      </c>
      <c r="D5" s="825" t="str">
        <f ca="1"/>
        <v/>
      </c>
      <c r="E5" s="828" t="s">
        <v>352</v>
      </c>
      <c r="F5" s="1032" t="str">
        <f t="shared" ca="1" si="0"/>
        <v/>
      </c>
    </row>
    <row r="6" spans="1:6" s="1058" customFormat="1" ht="15.75">
      <c r="A6" s="819" t="s">
        <v>2358</v>
      </c>
      <c r="B6" s="819" t="s">
        <v>2360</v>
      </c>
      <c r="C6" s="819" t="s">
        <v>2359</v>
      </c>
      <c r="D6" s="825" t="str">
        <f ca="1"/>
        <v>Please select the language</v>
      </c>
      <c r="E6" s="828" t="s">
        <v>352</v>
      </c>
      <c r="F6" s="1044" t="s">
        <v>2393</v>
      </c>
    </row>
    <row r="7" spans="1:6" s="1058" customFormat="1" ht="15.75">
      <c r="A7" s="825"/>
      <c r="B7" s="825"/>
      <c r="C7" s="825" t="s">
        <v>352</v>
      </c>
      <c r="D7" s="825" t="str">
        <f ca="1"/>
        <v/>
      </c>
      <c r="E7" s="828" t="s">
        <v>352</v>
      </c>
      <c r="F7" s="1028" t="s">
        <v>13</v>
      </c>
    </row>
    <row r="8" spans="1:6" s="1058" customFormat="1">
      <c r="A8" s="825"/>
      <c r="B8" s="825"/>
      <c r="C8" s="825" t="s">
        <v>352</v>
      </c>
      <c r="D8" s="825" t="str">
        <f ca="1"/>
        <v/>
      </c>
      <c r="E8" s="828" t="s">
        <v>352</v>
      </c>
      <c r="F8" s="1032"/>
    </row>
    <row r="9" spans="1:6" ht="15.75">
      <c r="A9" s="825" t="s">
        <v>2369</v>
      </c>
      <c r="B9" s="825" t="s">
        <v>2324</v>
      </c>
      <c r="C9" s="825" t="s">
        <v>2324</v>
      </c>
      <c r="D9" s="825" t="str">
        <f ca="1"/>
        <v>Instructions</v>
      </c>
      <c r="E9" s="828" t="s">
        <v>352</v>
      </c>
      <c r="F9" s="973" t="str">
        <f t="shared" ca="1" si="0"/>
        <v>Instructions</v>
      </c>
    </row>
    <row r="10" spans="1:6" ht="30" customHeight="1">
      <c r="A10" s="825" t="s">
        <v>2398</v>
      </c>
      <c r="B10" s="825" t="s">
        <v>2399</v>
      </c>
      <c r="C10" s="825" t="s">
        <v>2407</v>
      </c>
      <c r="D10" s="825" t="str">
        <f ca="1"/>
        <v>After reading these instructions, go to the worksheets "MainInput" and "Substrates" and enter all required data (light yellow fields).</v>
      </c>
      <c r="E10" s="828" t="s">
        <v>352</v>
      </c>
      <c r="F10" s="1033" t="str">
        <f t="shared" ca="1" si="0"/>
        <v>After reading these instructions, go to the worksheets "MainInput" and "Substrates" and enter all required data (light yellow fields).</v>
      </c>
    </row>
    <row r="11" spans="1:6" ht="30" customHeight="1">
      <c r="A11" s="825" t="s">
        <v>2395</v>
      </c>
      <c r="B11" s="825" t="s">
        <v>2400</v>
      </c>
      <c r="C11" s="825" t="s">
        <v>2408</v>
      </c>
      <c r="D11" s="825" t="str">
        <f ca="1"/>
        <v>In the worksheet "MainInput", please select the country where the biogas plant is located. Contact the VUE naturemade office if the plant is located in a European country that is not included in the list.</v>
      </c>
      <c r="E11" s="828" t="s">
        <v>352</v>
      </c>
      <c r="F11" s="1033" t="str">
        <f t="shared" ca="1" si="0"/>
        <v>In the worksheet "MainInput", please select the country where the biogas plant is located. Contact the VUE naturemade office if the plant is located in a European country that is not included in the list.</v>
      </c>
    </row>
    <row r="12" spans="1:6" ht="15" customHeight="1">
      <c r="A12" s="825" t="s">
        <v>2370</v>
      </c>
      <c r="B12" s="825" t="s">
        <v>2401</v>
      </c>
      <c r="C12" s="825" t="s">
        <v>2323</v>
      </c>
      <c r="D12" s="825" t="str">
        <f ca="1"/>
        <v>All data must be entered for a uniform period of one year.</v>
      </c>
      <c r="E12" s="828" t="s">
        <v>352</v>
      </c>
      <c r="F12" s="1033" t="str">
        <f t="shared" ca="1" si="0"/>
        <v>All data must be entered for a uniform period of one year.</v>
      </c>
    </row>
    <row r="13" spans="1:6" ht="15" customHeight="1">
      <c r="A13" s="825" t="s">
        <v>2396</v>
      </c>
      <c r="B13" s="825" t="s">
        <v>2402</v>
      </c>
      <c r="C13" s="825" t="s">
        <v>2409</v>
      </c>
      <c r="D13" s="825" t="str">
        <f ca="1"/>
        <v>The energy content of fuels and the biogas/biomethane produced must be entered with the higher heating value (higher calorific value).</v>
      </c>
      <c r="E13" s="828" t="s">
        <v>352</v>
      </c>
      <c r="F13" s="1033" t="str">
        <f t="shared" ca="1" si="0"/>
        <v>The energy content of fuels and the biogas/biomethane produced must be entered with the higher heating value (higher calorific value).</v>
      </c>
    </row>
    <row r="14" spans="1:6" ht="30" customHeight="1">
      <c r="A14" s="825" t="s">
        <v>2371</v>
      </c>
      <c r="B14" s="825" t="s">
        <v>2403</v>
      </c>
      <c r="C14" s="825" t="s">
        <v>2410</v>
      </c>
      <c r="D14" s="825" t="str">
        <f ca="1"/>
        <v>In the column "Notes and warnings" certain aspects of the entry are checked. After filling in all data, there must be no more warnings.</v>
      </c>
      <c r="E14" s="828" t="s">
        <v>352</v>
      </c>
      <c r="F14" s="1033" t="str">
        <f t="shared" ca="1" si="0"/>
        <v>In the column "Notes and warnings" certain aspects of the entry are checked. After filling in all data, there must be no more warnings.</v>
      </c>
    </row>
    <row r="15" spans="1:6" ht="30" customHeight="1">
      <c r="A15" s="825" t="s">
        <v>2377</v>
      </c>
      <c r="B15" s="825" t="s">
        <v>2404</v>
      </c>
      <c r="C15" s="825" t="s">
        <v>2411</v>
      </c>
      <c r="D15" s="825" t="str">
        <f ca="1"/>
        <v>For most substrates and the digestate, information on costs and/or revenue is requested. Income and expenditure must be entered as a positive (revenue) or negative (expenses) value per year. Transport costs are not taken into accoun</v>
      </c>
      <c r="E15" s="828" t="s">
        <v>352</v>
      </c>
      <c r="F15" s="1033" t="str">
        <f t="shared" ca="1" si="0"/>
        <v>For most substrates and the digestate, information on costs and/or revenue is requested. Income and expenditure must be entered as a positive (revenue) or negative (expenses) value per year. Transport costs are not taken into accoun</v>
      </c>
    </row>
    <row r="16" spans="1:6" ht="30" customHeight="1">
      <c r="A16" s="825" t="s">
        <v>2372</v>
      </c>
      <c r="B16" s="825" t="s">
        <v>2405</v>
      </c>
      <c r="C16" s="825" t="s">
        <v>2412</v>
      </c>
      <c r="D16" s="825" t="str">
        <f ca="1"/>
        <v>The automatic calculation in Excel must be switched on (Tools/Options/Calculation --&gt; Automatic) or you can recalculate each time with the [F9] key.</v>
      </c>
      <c r="E16" s="828" t="s">
        <v>352</v>
      </c>
      <c r="F16" s="1033" t="str">
        <f t="shared" ca="1" si="0"/>
        <v>The automatic calculation in Excel must be switched on (Tools/Options/Calculation --&gt; Automatic) or you can recalculate each time with the [F9] key.</v>
      </c>
    </row>
    <row r="17" spans="1:6" ht="15" customHeight="1">
      <c r="A17" s="1034" t="s">
        <v>2397</v>
      </c>
      <c r="B17" s="825" t="s">
        <v>2406</v>
      </c>
      <c r="C17" s="825" t="s">
        <v>2413</v>
      </c>
      <c r="D17" s="825" t="str">
        <f ca="1"/>
        <v>Finally, go to the "Results" worksheet in which you can see the result of the naturemade star test.</v>
      </c>
      <c r="E17" s="828" t="s">
        <v>352</v>
      </c>
      <c r="F17" s="1033" t="str">
        <f t="shared" ca="1" si="0"/>
        <v>Finally, go to the "Results" worksheet in which you can see the result of the naturemade star test.</v>
      </c>
    </row>
    <row r="18" spans="1:6">
      <c r="A18" s="828" t="s">
        <v>352</v>
      </c>
      <c r="B18" s="828" t="s">
        <v>352</v>
      </c>
      <c r="C18" s="828" t="s">
        <v>352</v>
      </c>
      <c r="D18" s="825" t="str">
        <f ca="1"/>
        <v/>
      </c>
      <c r="E18" s="828" t="s">
        <v>352</v>
      </c>
      <c r="F18" s="1033" t="str">
        <f t="shared" ca="1" si="0"/>
        <v/>
      </c>
    </row>
    <row r="19" spans="1:6" ht="15.75">
      <c r="A19" s="825" t="s">
        <v>2417</v>
      </c>
      <c r="B19" s="825" t="s">
        <v>2379</v>
      </c>
      <c r="C19" s="825" t="s">
        <v>2378</v>
      </c>
      <c r="D19" s="825" t="str">
        <f ca="1"/>
        <v>System boundaries for the biogas plant</v>
      </c>
      <c r="E19" s="828" t="s">
        <v>352</v>
      </c>
      <c r="F19" s="1030" t="str">
        <f t="shared" ca="1" si="0"/>
        <v>System boundaries for the biogas plant</v>
      </c>
    </row>
    <row r="20" spans="1:6" ht="60" customHeight="1">
      <c r="A20" s="825" t="s">
        <v>2418</v>
      </c>
      <c r="B20" s="1029" t="s">
        <v>2419</v>
      </c>
      <c r="C20" s="1029" t="s">
        <v>2420</v>
      </c>
      <c r="D20" s="825" t="str">
        <f ca="1"/>
        <v>For the calculation of the energy consumption and the life cycle assessment of the biogas plant (including the upgrading plant), the system boundary must be adhered to as described in the manual (see naturemade.ch-&gt;Documentation-&gt;Eco-balances). Basically, the system boundary includes all relevant energy and mass flows from the biogas plant operator's point of view, which are within his economic decision-making scope.</v>
      </c>
      <c r="E20" s="828" t="s">
        <v>352</v>
      </c>
      <c r="F20" s="1033" t="str">
        <f t="shared" ca="1" si="0"/>
        <v>For the calculation of the energy consumption and the life cycle assessment of the biogas plant (including the upgrading plant), the system boundary must be adhered to as described in the manual (see naturemade.ch-&gt;Documentation-&gt;Eco-balances). Basically, the system boundary includes all relevant energy and mass flows from the biogas plant operator's point of view, which are within his economic decision-making scope.</v>
      </c>
    </row>
    <row r="21" spans="1:6" ht="30" customHeight="1">
      <c r="A21" s="825" t="s">
        <v>2380</v>
      </c>
      <c r="B21" s="825" t="s">
        <v>2363</v>
      </c>
      <c r="C21" s="825" t="s">
        <v>2325</v>
      </c>
      <c r="D21" s="825" t="str">
        <f ca="1"/>
        <v>The model is  valid for biogas plants that use substrates according to the detailed list in the sheet "Substrates". Please contact the VUE naturemade office, if you have substrates that do not match the categories.</v>
      </c>
      <c r="E21" s="828" t="s">
        <v>352</v>
      </c>
      <c r="F21" s="1033" t="str">
        <f t="shared" ca="1" si="0"/>
        <v>The model is  valid for biogas plants that use substrates according to the detailed list in the sheet "Substrates". Please contact the VUE naturemade office, if you have substrates that do not match the categories.</v>
      </c>
    </row>
    <row r="22" spans="1:6" ht="45" customHeight="1">
      <c r="A22" s="825" t="s">
        <v>2373</v>
      </c>
      <c r="B22" s="825" t="s">
        <v>2364</v>
      </c>
      <c r="C22" s="825" t="s">
        <v>2326</v>
      </c>
      <c r="D22" s="825" t="str">
        <f ca="1"/>
        <v>The model is set up for biogas from green waste fermentation plants, agricultural biogas plants and wastewater treatment plants. It can only be applied to a limited extent to biogas plants at industrial enterprises such as fermentation at a slaughterhouse or sugar factory.</v>
      </c>
      <c r="E22" s="828" t="s">
        <v>352</v>
      </c>
      <c r="F22" s="1033" t="str">
        <f t="shared" ca="1" si="0"/>
        <v>The model is set up for biogas from green waste fermentation plants, agricultural biogas plants and wastewater treatment plants. It can only be applied to a limited extent to biogas plants at industrial enterprises such as fermentation at a slaughterhouse or sugar factory.</v>
      </c>
    </row>
    <row r="23" spans="1:6">
      <c r="A23" s="828" t="s">
        <v>352</v>
      </c>
      <c r="B23" s="828" t="s">
        <v>352</v>
      </c>
      <c r="C23" s="828" t="s">
        <v>352</v>
      </c>
      <c r="D23" s="825" t="str">
        <f ca="1"/>
        <v/>
      </c>
      <c r="E23" s="828" t="s">
        <v>352</v>
      </c>
      <c r="F23" s="1033" t="str">
        <f t="shared" ca="1" si="0"/>
        <v/>
      </c>
    </row>
    <row r="24" spans="1:6" ht="15.75">
      <c r="A24" s="825" t="s">
        <v>2381</v>
      </c>
      <c r="B24" s="825" t="s">
        <v>2365</v>
      </c>
      <c r="C24" s="825" t="s">
        <v>2190</v>
      </c>
      <c r="D24" s="825" t="str">
        <f ca="1"/>
        <v>Environmental product declaration (EPD)</v>
      </c>
      <c r="E24" s="828" t="s">
        <v>352</v>
      </c>
      <c r="F24" s="1030" t="str">
        <f t="shared" ca="1" si="0"/>
        <v>Environmental product declaration (EPD)</v>
      </c>
    </row>
    <row r="25" spans="1:6" ht="30" customHeight="1">
      <c r="A25" s="825" t="s">
        <v>2382</v>
      </c>
      <c r="B25" s="825" t="s">
        <v>2366</v>
      </c>
      <c r="C25" s="825" t="s">
        <v>2361</v>
      </c>
      <c r="D25" s="825" t="str">
        <f ca="1"/>
        <v>The environmental product declaration (EPD) roughly indicates the environmental impact. Differences in comparisons of less than 10% are usually not relevant. The allocation methodology differs from the procedure in the ecoinvent database.</v>
      </c>
      <c r="E25" s="828" t="s">
        <v>352</v>
      </c>
      <c r="F25" s="1033" t="str">
        <f t="shared" ca="1" si="0"/>
        <v>The environmental product declaration (EPD) roughly indicates the environmental impact. Differences in comparisons of less than 10% are usually not relevant. The allocation methodology differs from the procedure in the ecoinvent database.</v>
      </c>
    </row>
    <row r="26" spans="1:6" ht="15" customHeight="1">
      <c r="A26" s="825" t="s">
        <v>2374</v>
      </c>
      <c r="B26" s="825" t="s">
        <v>2367</v>
      </c>
      <c r="C26" s="825" t="s">
        <v>2188</v>
      </c>
      <c r="D26" s="825" t="str">
        <f ca="1"/>
        <v>In addition, the results of an allocation according to ecoinvent are also shown in the lower part of the table.</v>
      </c>
      <c r="E26" s="828" t="s">
        <v>352</v>
      </c>
      <c r="F26" s="1033" t="str">
        <f t="shared" ca="1" si="0"/>
        <v>In addition, the results of an allocation according to ecoinvent are also shown in the lower part of the table.</v>
      </c>
    </row>
    <row r="27" spans="1:6" hidden="1">
      <c r="A27" s="825"/>
      <c r="B27" s="825"/>
      <c r="C27" s="825"/>
      <c r="D27" s="825">
        <f ca="1"/>
        <v>0</v>
      </c>
      <c r="E27" s="828" t="s">
        <v>352</v>
      </c>
      <c r="F27" s="1035"/>
    </row>
    <row r="28" spans="1:6" ht="15">
      <c r="A28" s="828" t="s">
        <v>352</v>
      </c>
      <c r="B28" s="828" t="s">
        <v>352</v>
      </c>
      <c r="C28" s="828" t="s">
        <v>352</v>
      </c>
      <c r="D28" s="825" t="str">
        <f ca="1"/>
        <v/>
      </c>
      <c r="E28" s="828" t="s">
        <v>352</v>
      </c>
      <c r="F28" s="1036" t="str">
        <f t="shared" ca="1" si="0"/>
        <v/>
      </c>
    </row>
    <row r="29" spans="1:6" ht="15.75">
      <c r="A29" s="825" t="s">
        <v>2375</v>
      </c>
      <c r="B29" s="825" t="s">
        <v>2368</v>
      </c>
      <c r="C29" s="825" t="s">
        <v>2189</v>
      </c>
      <c r="D29" s="825" t="str">
        <f ca="1"/>
        <v>Queries</v>
      </c>
      <c r="E29" s="828" t="s">
        <v>352</v>
      </c>
      <c r="F29" s="1030" t="str">
        <f t="shared" ca="1" si="0"/>
        <v>Queries</v>
      </c>
    </row>
    <row r="30" spans="1:6" ht="45" customHeight="1">
      <c r="A30" s="825" t="s">
        <v>2376</v>
      </c>
      <c r="B30" s="825" t="s">
        <v>2422</v>
      </c>
      <c r="C30" s="825" t="s">
        <v>2421</v>
      </c>
      <c r="D30" s="825" t="str">
        <f ca="1"/>
        <v>For questions about the model, the full background report should be looked at first. Jungbluth N. (2021) Handbuch für die naturemade Kennwertmodelle: Ökobilanzen für die Prüfung des globalen Kriteriums. ESU-services on behalf of the Association for Environmentally Sound Energy (VUE), Schaffhausen.</v>
      </c>
      <c r="E30" s="828" t="s">
        <v>352</v>
      </c>
      <c r="F30" s="1037" t="str">
        <f ca="1">D30</f>
        <v>For questions about the model, the full background report should be looked at first. Jungbluth N. (2021) Handbuch für die naturemade Kennwertmodelle: Ökobilanzen für die Prüfung des globalen Kriteriums. ESU-services on behalf of the Association for Environmentally Sound Energy (VUE), Schaffhausen.</v>
      </c>
    </row>
    <row r="31" spans="1:6">
      <c r="A31" s="1027" t="s">
        <v>2434</v>
      </c>
      <c r="B31" s="825" t="s">
        <v>535</v>
      </c>
      <c r="C31" s="825" t="str">
        <f t="shared" ref="C31" si="1">$A31</f>
        <v xml:space="preserve">http://www.esu-services.ch/projects/naturemade/ </v>
      </c>
      <c r="D31" s="825" t="str">
        <f ca="1"/>
        <v xml:space="preserve">http://www.esu-services.ch/projects/naturemade/ </v>
      </c>
      <c r="E31" s="828" t="s">
        <v>352</v>
      </c>
      <c r="F31" s="1045" t="str">
        <f ca="1">D31</f>
        <v xml:space="preserve">http://www.esu-services.ch/projects/naturemade/ </v>
      </c>
    </row>
    <row r="32" spans="1:6" ht="25.5">
      <c r="A32" s="825" t="s">
        <v>2423</v>
      </c>
      <c r="B32" s="825" t="s">
        <v>2424</v>
      </c>
      <c r="C32" s="825" t="s">
        <v>2425</v>
      </c>
      <c r="D32" s="825" t="str">
        <f ca="1"/>
        <v>For questions and feedback, please contact the VUE naturemade office. Please send the completed Excel spreadsheet, saved under a new name while retaining the version number, to the following address:</v>
      </c>
      <c r="E32" s="828" t="s">
        <v>352</v>
      </c>
      <c r="F32" s="1033" t="str">
        <f t="shared" ca="1" si="0"/>
        <v>For questions and feedback, please contact the VUE naturemade office. Please send the completed Excel spreadsheet, saved under a new name while retaining the version number, to the following address:</v>
      </c>
    </row>
    <row r="33" spans="1:6">
      <c r="A33" s="828" t="s">
        <v>352</v>
      </c>
      <c r="B33" s="828" t="s">
        <v>352</v>
      </c>
      <c r="C33" s="828" t="s">
        <v>352</v>
      </c>
      <c r="D33" s="825" t="str">
        <f ca="1"/>
        <v/>
      </c>
      <c r="E33" s="828" t="s">
        <v>352</v>
      </c>
      <c r="F33" s="1038" t="str">
        <f t="shared" ca="1" si="0"/>
        <v/>
      </c>
    </row>
    <row r="34" spans="1:6" ht="15.75">
      <c r="A34" s="825" t="s">
        <v>2383</v>
      </c>
      <c r="B34" s="825" t="s">
        <v>2387</v>
      </c>
      <c r="C34" s="825" t="s">
        <v>2384</v>
      </c>
      <c r="D34" s="825" t="str">
        <f ca="1"/>
        <v>Commissioner</v>
      </c>
      <c r="E34" s="828"/>
      <c r="F34" s="1030" t="str">
        <f ca="1">D34</f>
        <v>Commissioner</v>
      </c>
    </row>
    <row r="35" spans="1:6">
      <c r="A35" s="825" t="s">
        <v>398</v>
      </c>
      <c r="B35" s="825" t="s">
        <v>2426</v>
      </c>
      <c r="C35" s="825" t="s">
        <v>2427</v>
      </c>
      <c r="D35" s="825" t="str">
        <f ca="1"/>
        <v>Association for Environmentally Sound Energy (VUE), naturemade office</v>
      </c>
      <c r="E35" s="828" t="s">
        <v>352</v>
      </c>
      <c r="F35" s="1039" t="str">
        <f t="shared" ca="1" si="0"/>
        <v>Association for Environmentally Sound Energy (VUE), naturemade office</v>
      </c>
    </row>
    <row r="36" spans="1:6">
      <c r="A36" s="825" t="s">
        <v>2362</v>
      </c>
      <c r="B36" s="825" t="str">
        <f t="shared" ref="B36:B49" si="2">$A36</f>
        <v>Molkenstrasse 21, CH-8004 Zürich</v>
      </c>
      <c r="C36" s="825" t="str">
        <f t="shared" ref="C36:C49" si="3">$A36</f>
        <v>Molkenstrasse 21, CH-8004 Zürich</v>
      </c>
      <c r="D36" s="825" t="str">
        <f ca="1"/>
        <v>Molkenstrasse 21, CH-8004 Zürich</v>
      </c>
      <c r="E36" s="828" t="s">
        <v>352</v>
      </c>
      <c r="F36" s="1039" t="str">
        <f t="shared" ca="1" si="0"/>
        <v>Molkenstrasse 21, CH-8004 Zürich</v>
      </c>
    </row>
    <row r="37" spans="1:6">
      <c r="A37" s="825" t="s">
        <v>2432</v>
      </c>
      <c r="B37" s="825" t="str">
        <f t="shared" si="2"/>
        <v>Valentin Graf, T: +41 44 213 10 21</v>
      </c>
      <c r="C37" s="825" t="str">
        <f t="shared" si="3"/>
        <v>Valentin Graf, T: +41 44 213 10 21</v>
      </c>
      <c r="D37" s="825" t="str">
        <f ca="1"/>
        <v>Valentin Graf, T: +41 44 213 10 21</v>
      </c>
      <c r="E37" s="828" t="s">
        <v>352</v>
      </c>
      <c r="F37" s="1039" t="str">
        <f t="shared" ca="1" si="0"/>
        <v>Valentin Graf, T: +41 44 213 10 21</v>
      </c>
    </row>
    <row r="38" spans="1:6">
      <c r="A38" s="1027" t="s">
        <v>353</v>
      </c>
      <c r="B38" s="825" t="str">
        <f t="shared" si="2"/>
        <v>www.naturemade.ch</v>
      </c>
      <c r="C38" s="825" t="str">
        <f t="shared" si="3"/>
        <v>www.naturemade.ch</v>
      </c>
      <c r="D38" s="825" t="str">
        <f ca="1"/>
        <v>www.naturemade.ch</v>
      </c>
      <c r="E38" s="828" t="s">
        <v>352</v>
      </c>
      <c r="F38" s="1046" t="str">
        <f t="shared" ca="1" si="0"/>
        <v>www.naturemade.ch</v>
      </c>
    </row>
    <row r="39" spans="1:6">
      <c r="A39" s="1027" t="s">
        <v>1195</v>
      </c>
      <c r="B39" s="825" t="str">
        <f t="shared" si="2"/>
        <v>valentin.graf@naturemade.ch</v>
      </c>
      <c r="C39" s="825" t="str">
        <f t="shared" si="3"/>
        <v>valentin.graf@naturemade.ch</v>
      </c>
      <c r="D39" s="825" t="str">
        <f ca="1"/>
        <v>valentin.graf@naturemade.ch</v>
      </c>
      <c r="E39" s="828" t="s">
        <v>352</v>
      </c>
      <c r="F39" s="1046" t="str">
        <f t="shared" ca="1" si="0"/>
        <v>valentin.graf@naturemade.ch</v>
      </c>
    </row>
    <row r="40" spans="1:6">
      <c r="A40" s="825" t="s">
        <v>352</v>
      </c>
      <c r="B40" s="825" t="str">
        <f t="shared" si="2"/>
        <v/>
      </c>
      <c r="C40" s="825" t="str">
        <f t="shared" si="3"/>
        <v/>
      </c>
      <c r="D40" s="825" t="str">
        <f ca="1"/>
        <v/>
      </c>
      <c r="E40" s="828" t="s">
        <v>352</v>
      </c>
      <c r="F40" s="1040" t="str">
        <f t="shared" ca="1" si="0"/>
        <v/>
      </c>
    </row>
    <row r="41" spans="1:6" ht="15.75">
      <c r="A41" s="825" t="s">
        <v>2385</v>
      </c>
      <c r="B41" s="825" t="s">
        <v>2390</v>
      </c>
      <c r="C41" s="825" t="s">
        <v>2386</v>
      </c>
      <c r="D41" s="825" t="str">
        <f ca="1"/>
        <v>Development of the key parameter model for life cycle assessment</v>
      </c>
      <c r="E41" s="828" t="s">
        <v>352</v>
      </c>
      <c r="F41" s="1030" t="str">
        <f t="shared" ca="1" si="0"/>
        <v>Development of the key parameter model for life cycle assessment</v>
      </c>
    </row>
    <row r="42" spans="1:6">
      <c r="A42" s="825" t="s">
        <v>894</v>
      </c>
      <c r="B42" s="825" t="str">
        <f t="shared" si="2"/>
        <v>© ESU-services GmbH</v>
      </c>
      <c r="C42" s="825" t="str">
        <f t="shared" si="3"/>
        <v>© ESU-services GmbH</v>
      </c>
      <c r="D42" s="825" t="str">
        <f ca="1"/>
        <v>© ESU-services GmbH</v>
      </c>
      <c r="E42" s="828" t="s">
        <v>352</v>
      </c>
      <c r="F42" s="1038" t="str">
        <f t="shared" ca="1" si="0"/>
        <v>© ESU-services GmbH</v>
      </c>
    </row>
    <row r="43" spans="1:6">
      <c r="A43" s="825" t="s">
        <v>1403</v>
      </c>
      <c r="B43" s="825" t="str">
        <f t="shared" si="2"/>
        <v>Vorstadt 14, CH-8200 Schaffhausen</v>
      </c>
      <c r="C43" s="825" t="str">
        <f t="shared" si="3"/>
        <v>Vorstadt 14, CH-8200 Schaffhausen</v>
      </c>
      <c r="D43" s="825" t="str">
        <f ca="1"/>
        <v>Vorstadt 14, CH-8200 Schaffhausen</v>
      </c>
      <c r="E43" s="828" t="s">
        <v>352</v>
      </c>
      <c r="F43" s="1038" t="str">
        <f t="shared" ca="1" si="0"/>
        <v>Vorstadt 14, CH-8200 Schaffhausen</v>
      </c>
    </row>
    <row r="44" spans="1:6">
      <c r="A44" s="825" t="s">
        <v>2433</v>
      </c>
      <c r="B44" s="825" t="str">
        <f t="shared" si="2"/>
        <v>Niels Jungbluth, T. +41 44 940 61 32</v>
      </c>
      <c r="C44" s="825" t="str">
        <f t="shared" si="3"/>
        <v>Niels Jungbluth, T. +41 44 940 61 32</v>
      </c>
      <c r="D44" s="825" t="str">
        <f ca="1"/>
        <v>Niels Jungbluth, T. +41 44 940 61 32</v>
      </c>
      <c r="E44" s="828" t="s">
        <v>352</v>
      </c>
      <c r="F44" s="1038" t="str">
        <f t="shared" ca="1" si="0"/>
        <v>Niels Jungbluth, T. +41 44 940 61 32</v>
      </c>
    </row>
    <row r="45" spans="1:6">
      <c r="A45" s="1027" t="s">
        <v>119</v>
      </c>
      <c r="B45" s="825" t="str">
        <f t="shared" si="2"/>
        <v>jungbluth@esu-services.ch</v>
      </c>
      <c r="C45" s="825" t="str">
        <f t="shared" si="3"/>
        <v>jungbluth@esu-services.ch</v>
      </c>
      <c r="D45" s="825" t="str">
        <f ca="1"/>
        <v>jungbluth@esu-services.ch</v>
      </c>
      <c r="E45" s="828" t="s">
        <v>352</v>
      </c>
      <c r="F45" s="1047" t="str">
        <f t="shared" ca="1" si="0"/>
        <v>jungbluth@esu-services.ch</v>
      </c>
    </row>
    <row r="46" spans="1:6">
      <c r="A46" s="1027" t="s">
        <v>2431</v>
      </c>
      <c r="B46" s="825" t="str">
        <f>$A46</f>
        <v>www.esu-services.ch</v>
      </c>
      <c r="C46" s="825" t="str">
        <f t="shared" si="3"/>
        <v>www.esu-services.ch</v>
      </c>
      <c r="D46" s="825" t="str">
        <f ca="1"/>
        <v>www.esu-services.ch</v>
      </c>
      <c r="E46" s="828" t="s">
        <v>352</v>
      </c>
      <c r="F46" s="1048" t="str">
        <f t="shared" ca="1" si="0"/>
        <v>www.esu-services.ch</v>
      </c>
    </row>
    <row r="47" spans="1:6">
      <c r="A47" s="825" t="s">
        <v>352</v>
      </c>
      <c r="B47" s="825" t="str">
        <f t="shared" si="2"/>
        <v/>
      </c>
      <c r="C47" s="825" t="str">
        <f t="shared" si="3"/>
        <v/>
      </c>
      <c r="D47" s="825" t="str">
        <f ca="1"/>
        <v/>
      </c>
      <c r="E47" s="828" t="s">
        <v>352</v>
      </c>
      <c r="F47" s="1040" t="str">
        <f t="shared" ca="1" si="0"/>
        <v/>
      </c>
    </row>
    <row r="48" spans="1:6" ht="15.75">
      <c r="A48" s="825" t="s">
        <v>2388</v>
      </c>
      <c r="B48" s="825" t="s">
        <v>2389</v>
      </c>
      <c r="C48" s="825" t="s">
        <v>2357</v>
      </c>
      <c r="D48" s="825" t="str">
        <f ca="1"/>
        <v>Version and background database</v>
      </c>
      <c r="E48" s="828" t="s">
        <v>352</v>
      </c>
      <c r="F48" s="1030" t="str">
        <f t="shared" ca="1" si="0"/>
        <v>Version and background database</v>
      </c>
    </row>
    <row r="49" spans="1:6">
      <c r="A49" s="825" t="s">
        <v>2466</v>
      </c>
      <c r="B49" s="825" t="str">
        <f t="shared" si="2"/>
        <v>Version 2021-v18.1</v>
      </c>
      <c r="C49" s="825" t="str">
        <f t="shared" si="3"/>
        <v>Version 2021-v18.1</v>
      </c>
      <c r="D49" s="825" t="str">
        <f ca="1"/>
        <v>Version 2021-v18.1</v>
      </c>
      <c r="E49" s="828" t="s">
        <v>352</v>
      </c>
      <c r="F49" s="1040" t="str">
        <f t="shared" ca="1" si="0"/>
        <v>Version 2021-v18.1</v>
      </c>
    </row>
    <row r="50" spans="1:6">
      <c r="A50" s="825" t="s">
        <v>2191</v>
      </c>
      <c r="B50" s="825" t="s">
        <v>2191</v>
      </c>
      <c r="C50" s="825" t="s">
        <v>2391</v>
      </c>
      <c r="D50" s="825" t="str">
        <f ca="1"/>
        <v>Eco-indicator v2.10 and ESU-database 2021 (based on UVEK 2018), electricity mixes from ecoinvent v3.6</v>
      </c>
      <c r="E50" s="828" t="s">
        <v>352</v>
      </c>
      <c r="F50" s="1040" t="str">
        <f t="shared" ca="1" si="0"/>
        <v>Eco-indicator v2.10 and ESU-database 2021 (based on UVEK 2018), electricity mixes from ecoinvent v3.6</v>
      </c>
    </row>
    <row r="51" spans="1:6">
      <c r="A51" s="825" t="s">
        <v>352</v>
      </c>
      <c r="B51" s="825" t="s">
        <v>352</v>
      </c>
      <c r="C51" s="825" t="s">
        <v>352</v>
      </c>
      <c r="D51" s="825"/>
      <c r="E51" s="828" t="s">
        <v>352</v>
      </c>
      <c r="F51" s="1040"/>
    </row>
    <row r="52" spans="1:6">
      <c r="A52" s="825"/>
      <c r="B52" s="825"/>
      <c r="C52" s="825"/>
      <c r="D52" s="825"/>
      <c r="E52" s="828"/>
      <c r="F52" s="1040" t="s">
        <v>2462</v>
      </c>
    </row>
    <row r="53" spans="1:6">
      <c r="F53" s="1040" t="s">
        <v>2463</v>
      </c>
    </row>
    <row r="54" spans="1:6">
      <c r="F54" s="1040" t="s">
        <v>2464</v>
      </c>
    </row>
    <row r="55" spans="1:6">
      <c r="F55" s="1040" t="s">
        <v>2465</v>
      </c>
    </row>
    <row r="56" spans="1:6">
      <c r="F56" s="1040" t="s">
        <v>1774</v>
      </c>
    </row>
    <row r="57" spans="1:6">
      <c r="F57" s="1040" t="s">
        <v>1751</v>
      </c>
    </row>
    <row r="58" spans="1:6">
      <c r="F58" s="1040" t="s">
        <v>1735</v>
      </c>
    </row>
    <row r="59" spans="1:6">
      <c r="F59" s="1040" t="s">
        <v>1686</v>
      </c>
    </row>
    <row r="60" spans="1:6">
      <c r="F60" s="1040" t="s">
        <v>1682</v>
      </c>
    </row>
    <row r="61" spans="1:6">
      <c r="F61" s="1040" t="s">
        <v>1676</v>
      </c>
    </row>
    <row r="62" spans="1:6">
      <c r="F62" s="1040" t="s">
        <v>1640</v>
      </c>
    </row>
    <row r="63" spans="1:6">
      <c r="F63" s="1040" t="s">
        <v>1638</v>
      </c>
    </row>
    <row r="64" spans="1:6">
      <c r="F64" s="1040" t="s">
        <v>1194</v>
      </c>
    </row>
    <row r="65" spans="6:6">
      <c r="F65" s="1040" t="s">
        <v>1185</v>
      </c>
    </row>
    <row r="66" spans="6:6">
      <c r="F66" s="1040" t="s">
        <v>1153</v>
      </c>
    </row>
    <row r="67" spans="6:6">
      <c r="F67" s="1040" t="s">
        <v>1059</v>
      </c>
    </row>
    <row r="68" spans="6:6">
      <c r="F68" s="1040" t="s">
        <v>1002</v>
      </c>
    </row>
    <row r="69" spans="6:6">
      <c r="F69" s="1040" t="s">
        <v>970</v>
      </c>
    </row>
    <row r="70" spans="6:6">
      <c r="F70" s="1040" t="s">
        <v>955</v>
      </c>
    </row>
    <row r="71" spans="6:6">
      <c r="F71" s="1040" t="s">
        <v>956</v>
      </c>
    </row>
    <row r="72" spans="6:6">
      <c r="F72" s="1040" t="s">
        <v>957</v>
      </c>
    </row>
  </sheetData>
  <sheetProtection algorithmName="SHA-512" hashValue="45emqipm9mQ92M/oppuBi59QR9VmadUNi1cFtPw3LD9fMS0Z2yWCinYFajxe+RdM1u0zZBKoAlyuaVUz6hHX1g==" saltValue="sK3Yg+86VP6cfJnozZQZFw==" spinCount="100000" sheet="1" objects="1" scenarios="1"/>
  <phoneticPr fontId="0" type="noConversion"/>
  <hyperlinks>
    <hyperlink ref="A45" r:id="rId1" xr:uid="{1A72C921-709C-4C26-8E76-25DDF08EA04E}"/>
    <hyperlink ref="A38" r:id="rId2" xr:uid="{090DF7AC-3A64-47F0-968E-3B6A9413737D}"/>
    <hyperlink ref="A39" r:id="rId3" xr:uid="{85CAF60C-F4EC-4655-BFC7-AB670953E0FE}"/>
    <hyperlink ref="F24" location="EPD!A1" display="EPD!A1" xr:uid="{8F07D73A-3C19-4BC1-B30A-C59F9CB12D86}"/>
    <hyperlink ref="A46" r:id="rId4" xr:uid="{00FE7162-2096-49E7-9A0D-8E954C027E5A}"/>
    <hyperlink ref="F46" r:id="rId5" display="http://www.esu-services.ch/" xr:uid="{18623F74-9471-43C8-AB6E-51466E6FA674}"/>
    <hyperlink ref="F45" r:id="rId6" display="mailto:jungbluth@esu-services.ch" xr:uid="{15D4A9C7-E3C1-4CA1-8FFB-77C6554B4E07}"/>
    <hyperlink ref="F39" r:id="rId7" display="mailto:valentin.graf@naturemade.ch" xr:uid="{9BB41DF2-A143-4AAC-8DD3-2F3ABD96B2DC}"/>
    <hyperlink ref="F38" r:id="rId8" display="http://www.naturemade.ch/" xr:uid="{34DA7443-9852-442C-AEE3-19DBC9BBD39D}"/>
    <hyperlink ref="A31" r:id="rId9" xr:uid="{705079C0-D637-42A9-9F7B-90968754BED6}"/>
    <hyperlink ref="F31" r:id="rId10" display="http://www.esu-services.ch/projects/naturemade/" xr:uid="{98CB8153-3145-4F27-BA71-A1223A49E0FF}"/>
  </hyperlinks>
  <printOptions horizontalCentered="1" verticalCentered="1"/>
  <pageMargins left="0.78740157480314965" right="0.78740157480314965" top="0.98425196850393704" bottom="0.98425196850393704" header="0.51181102362204722" footer="0.51181102362204722"/>
  <pageSetup paperSize="9" scale="60" orientation="portrait" r:id="rId11"/>
  <headerFooter alignWithMargins="0"/>
  <drawing r:id="rId12"/>
  <extLst>
    <ext xmlns:x14="http://schemas.microsoft.com/office/spreadsheetml/2009/9/main" uri="{CCE6A557-97BC-4b89-ADB6-D9C93CAAB3DF}">
      <x14:dataValidations xmlns:xm="http://schemas.microsoft.com/office/excel/2006/main" count="1">
        <x14:dataValidation type="list" allowBlank="1" showErrorMessage="1" promptTitle="Sprache" xr:uid="{2ABC47A3-627E-4104-BF11-9B6A5415A4B1}">
          <x14:formula1>
            <xm:f>menuesBG!$F$2:$F$4</xm:f>
          </x14:formula1>
          <xm:sqref>F7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99"/>
    <pageSetUpPr fitToPage="1"/>
  </sheetPr>
  <dimension ref="A2:AF59"/>
  <sheetViews>
    <sheetView workbookViewId="0">
      <pane xSplit="4" ySplit="2" topLeftCell="E3" activePane="bottomRight" state="frozen"/>
      <selection activeCell="BC505" sqref="BC505"/>
      <selection pane="topRight" activeCell="BC505" sqref="BC505"/>
      <selection pane="bottomLeft" activeCell="BC505" sqref="BC505"/>
      <selection pane="bottomRight" activeCell="K10" sqref="K10"/>
    </sheetView>
  </sheetViews>
  <sheetFormatPr baseColWidth="10" defaultRowHeight="12.75" outlineLevelCol="1"/>
  <cols>
    <col min="2" max="2" width="11" customWidth="1" outlineLevel="1"/>
    <col min="3" max="3" width="28.140625" customWidth="1"/>
    <col min="4" max="4" width="12" customWidth="1"/>
    <col min="5" max="5" width="12.140625" bestFit="1" customWidth="1"/>
    <col min="7" max="7" width="11" customWidth="1"/>
    <col min="12" max="12" width="13" customWidth="1"/>
    <col min="25" max="25" width="13.28515625" customWidth="1"/>
    <col min="26" max="26" width="12.7109375" customWidth="1"/>
    <col min="29" max="29" width="12.28515625" customWidth="1"/>
  </cols>
  <sheetData>
    <row r="2" spans="1:32" s="3" customFormat="1" ht="64.5" customHeight="1">
      <c r="A2" s="779" t="s">
        <v>1792</v>
      </c>
      <c r="B2" s="3" t="s">
        <v>893</v>
      </c>
      <c r="D2" s="3" t="s">
        <v>533</v>
      </c>
      <c r="E2" s="3" t="str">
        <f>E38</f>
        <v>Rape oil, at oil mill/RER U</v>
      </c>
      <c r="F2" s="3" t="str">
        <f t="shared" ref="F2:AF2" si="0">F38</f>
        <v>wheat straw IP, at farm/kg/CH U</v>
      </c>
      <c r="G2" s="3" t="str">
        <f t="shared" si="0"/>
        <v>Syrup, from sugar beet molasses, at distillery/CH U</v>
      </c>
      <c r="H2" s="3" t="str">
        <f t="shared" si="0"/>
        <v>grass silage IP, at farm/kg/CH U</v>
      </c>
      <c r="I2" s="3" t="str">
        <f t="shared" si="0"/>
        <v>grass silage organic, at farm/kg/CH U</v>
      </c>
      <c r="J2" s="3" t="str">
        <f t="shared" si="0"/>
        <v>Hay intensive IP, at farm/CH U</v>
      </c>
      <c r="K2" s="3" t="str">
        <f t="shared" si="0"/>
        <v>Potatoes IP, at farm/CH U</v>
      </c>
      <c r="L2" s="3" t="str">
        <f t="shared" si="0"/>
        <v>Clover seed IP, at farm/CH U</v>
      </c>
      <c r="M2" s="3" t="str">
        <f t="shared" si="0"/>
        <v>silage maize IP, at farm/kg/CH U</v>
      </c>
      <c r="N2" s="3" t="str">
        <f t="shared" si="0"/>
        <v>sugar beets IP, at farm/kg/CH U</v>
      </c>
      <c r="O2" s="3" t="str">
        <f t="shared" si="0"/>
        <v>Molasses, from sugar beet, at sugar refinery/CH U</v>
      </c>
      <c r="P2" s="3" t="str">
        <f t="shared" si="0"/>
        <v>Rape meal, at oil mill/RER U</v>
      </c>
      <c r="Q2" s="3" t="str">
        <f t="shared" si="0"/>
        <v>rye grains IP, at farm/kg/CH U</v>
      </c>
      <c r="R2" s="3" t="str">
        <f t="shared" si="0"/>
        <v>green rye conventional, at farm/kg/RER U</v>
      </c>
      <c r="S2" s="3" t="str">
        <f t="shared" si="0"/>
        <v>grass from meadow intensive IP, at field/kg/CH U</v>
      </c>
      <c r="T2" s="3" t="str">
        <f t="shared" si="0"/>
        <v>grass from natural meadow intensive IP, at field/kg/CH U</v>
      </c>
      <c r="U2" s="3" t="str">
        <f t="shared" si="0"/>
        <v>Vegetable oil, from waste cooking oil, at plant/CH U</v>
      </c>
      <c r="V2" s="3" t="str">
        <f t="shared" si="0"/>
        <v>Vinasse, at fermentation plant/CH U</v>
      </c>
      <c r="W2" s="3" t="str">
        <f t="shared" si="0"/>
        <v>Pulps, from sugar beet, at sugar refinery/CH U</v>
      </c>
      <c r="X2" s="3" t="str">
        <f t="shared" si="0"/>
        <v>apple ÖLN, at farm/kg/CH S</v>
      </c>
      <c r="Y2" s="3" t="str">
        <f t="shared" si="0"/>
        <v>bread, at bakery/kg/CH S</v>
      </c>
      <c r="Z2" s="3" t="str">
        <f t="shared" si="0"/>
        <v>meat mixed, IP, at slaughterhouse/kg/CH S</v>
      </c>
      <c r="AA2" s="3" t="str">
        <f t="shared" si="0"/>
        <v>vegetables mean, IP, at farm/kg/CH S</v>
      </c>
      <c r="AB2" s="3" t="str">
        <f t="shared" si="0"/>
        <v>by-products, wheat milling, at plant/kg/CH S</v>
      </c>
      <c r="AC2" s="3" t="str">
        <f t="shared" si="0"/>
        <v>yeast, at plant/kg/RER S</v>
      </c>
      <c r="AD2" s="3" t="str">
        <f t="shared" si="0"/>
        <v>raw milk, silo zone, at farm/kg/CH S</v>
      </c>
      <c r="AE2" s="3" t="str">
        <f t="shared" si="0"/>
        <v>whey, at cheese dairy/kg/CH S</v>
      </c>
      <c r="AF2" s="3" t="str">
        <f t="shared" si="0"/>
        <v>Soybean lecithin, at oil mill/GLO U</v>
      </c>
    </row>
    <row r="4" spans="1:32" s="133" customFormat="1">
      <c r="B4" s="747" t="e">
        <f>IF(Standort=1,B5,IF(Standort=2,B6,IF(Standort=3,B12,IF(Standort=4,B23,IF(Standort=5,B29,IF(Standort=6,B7,"x"))))))</f>
        <v>#N/A</v>
      </c>
      <c r="C4" s="748" t="s">
        <v>906</v>
      </c>
      <c r="D4" s="749" t="e">
        <f>Währung&amp;"/kg"</f>
        <v>#N/A</v>
      </c>
      <c r="E4" s="747" t="e">
        <f t="shared" ref="E4:AF4" si="1">IF(Standort=1,E5,IF(OR(Standort=2,Standort=6),E6,IF(Standort=3,E12,IF(Standort=4,E23,IF(Standort=5,E29,"x")))))</f>
        <v>#N/A</v>
      </c>
      <c r="F4" s="747" t="e">
        <f t="shared" si="1"/>
        <v>#N/A</v>
      </c>
      <c r="G4" s="747" t="e">
        <f t="shared" si="1"/>
        <v>#N/A</v>
      </c>
      <c r="H4" s="747" t="e">
        <f t="shared" si="1"/>
        <v>#N/A</v>
      </c>
      <c r="I4" s="747" t="e">
        <f t="shared" si="1"/>
        <v>#N/A</v>
      </c>
      <c r="J4" s="747" t="e">
        <f t="shared" si="1"/>
        <v>#N/A</v>
      </c>
      <c r="K4" s="747" t="e">
        <f t="shared" si="1"/>
        <v>#N/A</v>
      </c>
      <c r="L4" s="747" t="e">
        <f t="shared" si="1"/>
        <v>#N/A</v>
      </c>
      <c r="M4" s="747" t="e">
        <f t="shared" si="1"/>
        <v>#N/A</v>
      </c>
      <c r="N4" s="747" t="e">
        <f t="shared" si="1"/>
        <v>#N/A</v>
      </c>
      <c r="O4" s="747" t="e">
        <f t="shared" si="1"/>
        <v>#N/A</v>
      </c>
      <c r="P4" s="747" t="e">
        <f t="shared" si="1"/>
        <v>#N/A</v>
      </c>
      <c r="Q4" s="747" t="e">
        <f t="shared" si="1"/>
        <v>#N/A</v>
      </c>
      <c r="R4" s="747" t="e">
        <f t="shared" si="1"/>
        <v>#N/A</v>
      </c>
      <c r="S4" s="747" t="e">
        <f t="shared" si="1"/>
        <v>#N/A</v>
      </c>
      <c r="T4" s="747" t="e">
        <f t="shared" si="1"/>
        <v>#N/A</v>
      </c>
      <c r="U4" s="747" t="e">
        <f t="shared" si="1"/>
        <v>#N/A</v>
      </c>
      <c r="V4" s="747" t="e">
        <f t="shared" si="1"/>
        <v>#N/A</v>
      </c>
      <c r="W4" s="747" t="e">
        <f t="shared" si="1"/>
        <v>#N/A</v>
      </c>
      <c r="X4" s="747" t="e">
        <f t="shared" si="1"/>
        <v>#N/A</v>
      </c>
      <c r="Y4" s="747" t="e">
        <f t="shared" si="1"/>
        <v>#N/A</v>
      </c>
      <c r="Z4" s="747" t="e">
        <f t="shared" si="1"/>
        <v>#N/A</v>
      </c>
      <c r="AA4" s="747" t="e">
        <f t="shared" si="1"/>
        <v>#N/A</v>
      </c>
      <c r="AB4" s="747" t="e">
        <f t="shared" si="1"/>
        <v>#N/A</v>
      </c>
      <c r="AC4" s="747" t="e">
        <f t="shared" si="1"/>
        <v>#N/A</v>
      </c>
      <c r="AD4" s="747" t="e">
        <f t="shared" si="1"/>
        <v>#N/A</v>
      </c>
      <c r="AE4" s="747" t="e">
        <f t="shared" si="1"/>
        <v>#N/A</v>
      </c>
      <c r="AF4" s="747" t="e">
        <f t="shared" si="1"/>
        <v>#N/A</v>
      </c>
    </row>
    <row r="5" spans="1:32">
      <c r="A5">
        <v>1</v>
      </c>
      <c r="B5" s="338">
        <f>AVERAGE(E5:W5,X5:AF5)</f>
        <v>-1.5184392857142857</v>
      </c>
      <c r="C5" s="149" t="s">
        <v>2147</v>
      </c>
      <c r="D5" s="295" t="s">
        <v>907</v>
      </c>
      <c r="E5" s="292">
        <v>-0.82</v>
      </c>
      <c r="F5" s="293">
        <f>-16/100</f>
        <v>-0.16</v>
      </c>
      <c r="G5" s="292">
        <v>-0.12</v>
      </c>
      <c r="H5" s="293">
        <f>-27.5/100*0.35</f>
        <v>-9.6250000000000002E-2</v>
      </c>
      <c r="I5" s="292">
        <v>-0.12</v>
      </c>
      <c r="J5" s="293">
        <v>-0.3</v>
      </c>
      <c r="K5" s="293">
        <v>-0.46800000000000003</v>
      </c>
      <c r="L5" s="292">
        <v>-8</v>
      </c>
      <c r="M5" s="293">
        <v>-4.1500000000000002E-2</v>
      </c>
      <c r="N5" s="293">
        <v>-5.2999999999999999E-2</v>
      </c>
      <c r="O5" s="292">
        <v>-0.24</v>
      </c>
      <c r="P5" s="292">
        <v>-0.35</v>
      </c>
      <c r="Q5" s="293">
        <f>-40/100</f>
        <v>-0.4</v>
      </c>
      <c r="R5" s="292">
        <f>Q5/10</f>
        <v>-0.04</v>
      </c>
      <c r="S5" s="292">
        <v>-0.11</v>
      </c>
      <c r="T5" s="292">
        <v>-0.11</v>
      </c>
      <c r="U5" s="292">
        <v>-0.6</v>
      </c>
      <c r="V5" s="292">
        <v>-0.02</v>
      </c>
      <c r="W5" s="293">
        <v>-3.5000000000000003E-2</v>
      </c>
      <c r="X5" s="292">
        <v>-1</v>
      </c>
      <c r="Y5" s="292">
        <v>-5</v>
      </c>
      <c r="Z5" s="292">
        <v>-17.7</v>
      </c>
      <c r="AA5" s="292">
        <f>-2</f>
        <v>-2</v>
      </c>
      <c r="AB5" s="292">
        <f>-250/1000</f>
        <v>-0.25</v>
      </c>
      <c r="AC5" s="361">
        <v>-3</v>
      </c>
      <c r="AD5" s="293">
        <v>-0.65</v>
      </c>
      <c r="AE5" s="293">
        <v>-0.02</v>
      </c>
      <c r="AF5" s="293">
        <f>AF6*Euro</f>
        <v>-0.81254999999999988</v>
      </c>
    </row>
    <row r="6" spans="1:32">
      <c r="B6" s="338">
        <f>AVERAGE(E6:W6,X6:AF6)</f>
        <v>-1.3690759089707512</v>
      </c>
      <c r="C6" s="149" t="s">
        <v>2444</v>
      </c>
      <c r="D6" s="295" t="s">
        <v>861</v>
      </c>
      <c r="E6" s="343">
        <f>E9</f>
        <v>-0.85</v>
      </c>
      <c r="F6" s="348">
        <f>AVERAGE(F8:F9)</f>
        <v>-8.5000000000000006E-2</v>
      </c>
      <c r="G6" s="346">
        <f>G11</f>
        <v>-0.11076241462063874</v>
      </c>
      <c r="H6" s="348">
        <f>AVERAGE(H8:H9)</f>
        <v>-0.13550000000000001</v>
      </c>
      <c r="I6" s="348">
        <f>AVERAGE(I8:I9)</f>
        <v>-0.13550000000000001</v>
      </c>
      <c r="J6" s="348">
        <f>AVERAGE(J8:J9)</f>
        <v>-0.10750000000000001</v>
      </c>
      <c r="K6" s="343">
        <f>K9</f>
        <v>-0.3</v>
      </c>
      <c r="L6" s="346">
        <f>L11</f>
        <v>-7.3841609747092489</v>
      </c>
      <c r="M6" s="343">
        <f>M9</f>
        <v>-2.9600000000000001E-2</v>
      </c>
      <c r="N6" s="294">
        <f>N8</f>
        <v>-4.2999999999999997E-2</v>
      </c>
      <c r="O6" s="343">
        <f t="shared" ref="O6:T6" si="2">O9</f>
        <v>-0.2</v>
      </c>
      <c r="P6" s="348">
        <f>AVERAGE(P8:P9)</f>
        <v>-0.31</v>
      </c>
      <c r="Q6" s="343">
        <f t="shared" si="2"/>
        <v>-0.13800000000000001</v>
      </c>
      <c r="R6" s="348">
        <f>AVERAGE(R8:R9)</f>
        <v>-2.4050000000000002E-2</v>
      </c>
      <c r="S6" s="343">
        <f t="shared" si="2"/>
        <v>-1.7100000000000001E-2</v>
      </c>
      <c r="T6" s="343">
        <f t="shared" si="2"/>
        <v>-1.7100000000000001E-2</v>
      </c>
      <c r="U6" s="346">
        <f>U11</f>
        <v>-0.55381207310319369</v>
      </c>
      <c r="V6" s="346">
        <f>V11</f>
        <v>-1.8460402436773122E-2</v>
      </c>
      <c r="W6" s="346">
        <f>W11</f>
        <v>-3.2305704264352968E-2</v>
      </c>
      <c r="X6" s="346">
        <f t="shared" ref="X6:AB6" si="3">X11</f>
        <v>-0.92302012183865612</v>
      </c>
      <c r="Y6" s="346">
        <f t="shared" si="3"/>
        <v>-4.6151006091932807</v>
      </c>
      <c r="Z6" s="346">
        <f t="shared" si="3"/>
        <v>-16.337456156544214</v>
      </c>
      <c r="AA6" s="346">
        <f t="shared" si="3"/>
        <v>-1.8460402436773122</v>
      </c>
      <c r="AB6" s="346">
        <f t="shared" si="3"/>
        <v>-0.23075503045966403</v>
      </c>
      <c r="AC6" s="362">
        <f>AC11</f>
        <v>-2.7690603655159682</v>
      </c>
      <c r="AD6" s="294">
        <f>AD8</f>
        <v>-0.35238095238095235</v>
      </c>
      <c r="AE6" s="362">
        <f>AE11</f>
        <v>-1.8460402436773122E-2</v>
      </c>
      <c r="AF6" s="362">
        <v>-0.75</v>
      </c>
    </row>
    <row r="7" spans="1:32">
      <c r="B7" s="338">
        <f>AVERAGE(E7:W7,X7:AF7)</f>
        <v>-0.93263314202642478</v>
      </c>
      <c r="C7" s="149" t="s">
        <v>2445</v>
      </c>
      <c r="D7" s="295" t="s">
        <v>861</v>
      </c>
      <c r="E7" s="1061">
        <f>IF(E10&lt;0,E10,E6)</f>
        <v>-0.85</v>
      </c>
      <c r="F7" s="1061">
        <f t="shared" ref="F7:AF7" si="4">IF(F10&lt;0,F10,F6)</f>
        <v>-8.5000000000000006E-2</v>
      </c>
      <c r="G7" s="1061">
        <f t="shared" si="4"/>
        <v>-0.11076241462063874</v>
      </c>
      <c r="H7" s="1061">
        <f t="shared" si="4"/>
        <v>-0.13550000000000001</v>
      </c>
      <c r="I7" s="1061">
        <f t="shared" si="4"/>
        <v>-0.13550000000000001</v>
      </c>
      <c r="J7" s="1061">
        <f t="shared" si="4"/>
        <v>-0.10750000000000001</v>
      </c>
      <c r="K7" s="1061">
        <f t="shared" si="4"/>
        <v>-0.2</v>
      </c>
      <c r="L7" s="1061">
        <f t="shared" si="4"/>
        <v>-7.3841609747092489</v>
      </c>
      <c r="M7" s="1061">
        <f t="shared" si="4"/>
        <v>-2.9600000000000001E-2</v>
      </c>
      <c r="N7" s="1061">
        <f t="shared" si="4"/>
        <v>-4.2999999999999997E-2</v>
      </c>
      <c r="O7" s="1061">
        <f t="shared" si="4"/>
        <v>-0.2</v>
      </c>
      <c r="P7" s="1061">
        <f t="shared" si="4"/>
        <v>-0.31</v>
      </c>
      <c r="Q7" s="1061">
        <f t="shared" si="4"/>
        <v>-0.17799999999999999</v>
      </c>
      <c r="R7" s="1061">
        <f t="shared" si="4"/>
        <v>-2.4050000000000002E-2</v>
      </c>
      <c r="S7" s="1061">
        <f t="shared" si="4"/>
        <v>-1.7100000000000001E-2</v>
      </c>
      <c r="T7" s="1061">
        <f t="shared" si="4"/>
        <v>-1.7100000000000001E-2</v>
      </c>
      <c r="U7" s="1061">
        <f t="shared" si="4"/>
        <v>-0.55381207310319369</v>
      </c>
      <c r="V7" s="1061">
        <f t="shared" si="4"/>
        <v>-1.8460402436773122E-2</v>
      </c>
      <c r="W7" s="1061">
        <f t="shared" si="4"/>
        <v>-3.2305704264352968E-2</v>
      </c>
      <c r="X7" s="1061">
        <f t="shared" si="4"/>
        <v>-0.63149999999999995</v>
      </c>
      <c r="Y7" s="1061">
        <f t="shared" si="4"/>
        <v>-4.6151006091932807</v>
      </c>
      <c r="Z7" s="1061">
        <f t="shared" si="4"/>
        <v>-5.58</v>
      </c>
      <c r="AA7" s="1061">
        <f t="shared" si="4"/>
        <v>-0.75700000000000001</v>
      </c>
      <c r="AB7" s="1061">
        <f t="shared" si="4"/>
        <v>-0.23075503045966403</v>
      </c>
      <c r="AC7" s="1061">
        <f t="shared" si="4"/>
        <v>-2.7690603655159682</v>
      </c>
      <c r="AD7" s="1061">
        <f t="shared" si="4"/>
        <v>-0.33</v>
      </c>
      <c r="AE7" s="1061">
        <f t="shared" si="4"/>
        <v>-1.8460402436773122E-2</v>
      </c>
      <c r="AF7" s="1061">
        <f t="shared" si="4"/>
        <v>-0.75</v>
      </c>
    </row>
    <row r="8" spans="1:32">
      <c r="B8" s="338"/>
      <c r="C8" s="339" t="s">
        <v>904</v>
      </c>
      <c r="D8" s="340" t="s">
        <v>861</v>
      </c>
      <c r="E8" s="294"/>
      <c r="F8" s="294">
        <v>-0.1</v>
      </c>
      <c r="G8" s="294"/>
      <c r="H8" s="294">
        <v>-0.1</v>
      </c>
      <c r="I8" s="294">
        <f>H8</f>
        <v>-0.1</v>
      </c>
      <c r="J8" s="294">
        <v>-0.1</v>
      </c>
      <c r="K8" s="294">
        <v>-0.5</v>
      </c>
      <c r="L8" s="294"/>
      <c r="M8" s="294">
        <v>-0.04</v>
      </c>
      <c r="N8" s="294">
        <v>-4.2999999999999997E-2</v>
      </c>
      <c r="O8" s="294"/>
      <c r="P8" s="294">
        <v>-0.28999999999999998</v>
      </c>
      <c r="Q8" s="294">
        <v>-0.15</v>
      </c>
      <c r="R8" s="294">
        <f>-27/1000</f>
        <v>-2.7E-2</v>
      </c>
      <c r="S8" s="294"/>
      <c r="T8" s="294"/>
      <c r="U8" s="294"/>
      <c r="V8" s="294"/>
      <c r="W8" s="294"/>
      <c r="X8" s="294"/>
      <c r="Y8" s="294"/>
      <c r="Z8" s="294"/>
      <c r="AA8" s="294"/>
      <c r="AB8" s="294"/>
      <c r="AC8" s="363"/>
      <c r="AD8" s="294">
        <f>-37/1.05/100</f>
        <v>-0.35238095238095235</v>
      </c>
      <c r="AE8" s="294"/>
      <c r="AF8" s="362">
        <v>-0.6</v>
      </c>
    </row>
    <row r="9" spans="1:32" s="132" customFormat="1">
      <c r="A9"/>
      <c r="B9" s="338"/>
      <c r="C9" s="341" t="s">
        <v>905</v>
      </c>
      <c r="D9" s="342" t="s">
        <v>861</v>
      </c>
      <c r="E9" s="343">
        <v>-0.85</v>
      </c>
      <c r="F9" s="343">
        <v>-7.0000000000000007E-2</v>
      </c>
      <c r="G9" s="343"/>
      <c r="H9" s="343">
        <v>-0.17100000000000001</v>
      </c>
      <c r="I9" s="343">
        <f>H9</f>
        <v>-0.17100000000000001</v>
      </c>
      <c r="J9" s="343">
        <v>-0.115</v>
      </c>
      <c r="K9" s="343">
        <v>-0.3</v>
      </c>
      <c r="L9" s="343"/>
      <c r="M9" s="347">
        <v>-2.9600000000000001E-2</v>
      </c>
      <c r="N9" s="343"/>
      <c r="O9" s="343">
        <v>-0.2</v>
      </c>
      <c r="P9" s="343">
        <v>-0.33</v>
      </c>
      <c r="Q9" s="343">
        <v>-0.13800000000000001</v>
      </c>
      <c r="R9" s="343">
        <v>-2.1100000000000001E-2</v>
      </c>
      <c r="S9" s="347">
        <v>-1.7100000000000001E-2</v>
      </c>
      <c r="T9" s="347">
        <v>-1.7100000000000001E-2</v>
      </c>
      <c r="U9" s="343"/>
      <c r="V9" s="343"/>
      <c r="W9" s="343"/>
      <c r="X9" s="343"/>
      <c r="Y9" s="343"/>
      <c r="Z9" s="343"/>
      <c r="AA9" s="343"/>
      <c r="AB9" s="343"/>
      <c r="AC9" s="364"/>
      <c r="AD9" s="343">
        <v>-0.41</v>
      </c>
      <c r="AE9" s="343"/>
      <c r="AF9"/>
    </row>
    <row r="10" spans="1:32" s="132" customFormat="1">
      <c r="A10"/>
      <c r="B10" s="1065">
        <v>44266</v>
      </c>
      <c r="C10" s="1059" t="s">
        <v>2443</v>
      </c>
      <c r="D10" s="1060" t="s">
        <v>861</v>
      </c>
      <c r="E10" s="1061"/>
      <c r="F10" s="1061"/>
      <c r="G10" s="1061"/>
      <c r="H10" s="1061"/>
      <c r="I10" s="1061"/>
      <c r="J10" s="1061"/>
      <c r="K10" s="1061">
        <v>-0.2</v>
      </c>
      <c r="L10" s="1061"/>
      <c r="M10" s="1062"/>
      <c r="N10" s="1061"/>
      <c r="O10" s="1061"/>
      <c r="P10" s="1061"/>
      <c r="Q10" s="1061">
        <v>-0.17799999999999999</v>
      </c>
      <c r="R10" s="1061"/>
      <c r="S10" s="1062"/>
      <c r="T10" s="1062"/>
      <c r="U10" s="1061"/>
      <c r="V10" s="1061"/>
      <c r="W10" s="1061"/>
      <c r="X10" s="1061">
        <v>-0.63149999999999995</v>
      </c>
      <c r="Y10" s="1061"/>
      <c r="Z10" s="1061">
        <v>-5.58</v>
      </c>
      <c r="AA10" s="1061">
        <v>-0.75700000000000001</v>
      </c>
      <c r="AB10" s="1061"/>
      <c r="AC10" s="1063"/>
      <c r="AD10" s="1061">
        <v>-0.33</v>
      </c>
      <c r="AE10" s="1061"/>
      <c r="AF10" s="1064"/>
    </row>
    <row r="11" spans="1:32">
      <c r="A11" s="384">
        <v>1.0833999999999999</v>
      </c>
      <c r="B11" s="338">
        <f>AVERAGE(E11:W11,X11:AF11)</f>
        <v>-1.4256814965232909</v>
      </c>
      <c r="C11" s="344" t="s">
        <v>937</v>
      </c>
      <c r="D11" s="345" t="s">
        <v>861</v>
      </c>
      <c r="E11" s="346">
        <f t="shared" ref="E11:V11" si="5">E5/Euro</f>
        <v>-0.75687649990769801</v>
      </c>
      <c r="F11" s="346">
        <f t="shared" si="5"/>
        <v>-0.14768321949418498</v>
      </c>
      <c r="G11" s="346">
        <f t="shared" si="5"/>
        <v>-0.11076241462063874</v>
      </c>
      <c r="H11" s="346">
        <f t="shared" si="5"/>
        <v>-8.8840686726970652E-2</v>
      </c>
      <c r="I11" s="346">
        <f t="shared" si="5"/>
        <v>-0.11076241462063874</v>
      </c>
      <c r="J11" s="346">
        <f t="shared" si="5"/>
        <v>-0.27690603655159685</v>
      </c>
      <c r="K11" s="346">
        <f t="shared" si="5"/>
        <v>-0.43197341702049108</v>
      </c>
      <c r="L11" s="346">
        <f t="shared" si="5"/>
        <v>-7.3841609747092489</v>
      </c>
      <c r="M11" s="346">
        <f t="shared" si="5"/>
        <v>-3.8305335056304235E-2</v>
      </c>
      <c r="N11" s="346">
        <f t="shared" si="5"/>
        <v>-4.8920066457448771E-2</v>
      </c>
      <c r="O11" s="346">
        <f t="shared" si="5"/>
        <v>-0.22152482924127748</v>
      </c>
      <c r="P11" s="346">
        <f t="shared" si="5"/>
        <v>-0.32305704264352963</v>
      </c>
      <c r="Q11" s="346">
        <f t="shared" si="5"/>
        <v>-0.36920804873546248</v>
      </c>
      <c r="R11" s="346">
        <f t="shared" si="5"/>
        <v>-3.6920804873546244E-2</v>
      </c>
      <c r="S11" s="346">
        <f t="shared" si="5"/>
        <v>-0.10153221340225217</v>
      </c>
      <c r="T11" s="346">
        <f t="shared" si="5"/>
        <v>-0.10153221340225217</v>
      </c>
      <c r="U11" s="346">
        <f t="shared" si="5"/>
        <v>-0.55381207310319369</v>
      </c>
      <c r="V11" s="346">
        <f t="shared" si="5"/>
        <v>-1.8460402436773122E-2</v>
      </c>
      <c r="W11" s="346">
        <f t="shared" ref="W11" si="6">W5/Euro</f>
        <v>-3.2305704264352968E-2</v>
      </c>
      <c r="X11" s="346">
        <f t="shared" ref="X11:AD11" si="7">X5/Euro</f>
        <v>-0.92302012183865612</v>
      </c>
      <c r="Y11" s="346">
        <f t="shared" si="7"/>
        <v>-4.6151006091932807</v>
      </c>
      <c r="Z11" s="346">
        <f t="shared" si="7"/>
        <v>-16.337456156544214</v>
      </c>
      <c r="AA11" s="346">
        <f t="shared" si="7"/>
        <v>-1.8460402436773122</v>
      </c>
      <c r="AB11" s="346">
        <f t="shared" si="7"/>
        <v>-0.23075503045966403</v>
      </c>
      <c r="AC11" s="362">
        <f t="shared" ref="AC11" si="8">AC5/Euro</f>
        <v>-2.7690603655159682</v>
      </c>
      <c r="AD11" s="346">
        <f t="shared" si="7"/>
        <v>-0.59996307919512648</v>
      </c>
      <c r="AE11" s="346">
        <f t="shared" ref="AE11" si="9">AE5/Euro</f>
        <v>-1.8460402436773122E-2</v>
      </c>
    </row>
    <row r="12" spans="1:32">
      <c r="B12" s="782">
        <f>AVERAGE(E12:W12,X12:AF12)</f>
        <v>-509.35239285714289</v>
      </c>
      <c r="C12" s="357" t="s">
        <v>966</v>
      </c>
      <c r="D12" s="358" t="s">
        <v>910</v>
      </c>
      <c r="E12" s="359">
        <f>MIN(E13:E14)</f>
        <v>-306.84999999999997</v>
      </c>
      <c r="F12" s="359">
        <f t="shared" ref="F12:AC12" si="10">MIN(F13:F14)</f>
        <v>-53.44</v>
      </c>
      <c r="G12" s="359">
        <f t="shared" si="10"/>
        <v>-40.08</v>
      </c>
      <c r="H12" s="359">
        <f t="shared" si="10"/>
        <v>-48.915500000000002</v>
      </c>
      <c r="I12" s="359">
        <f t="shared" si="10"/>
        <v>-48.915500000000002</v>
      </c>
      <c r="J12" s="359">
        <f t="shared" si="10"/>
        <v>-100.2</v>
      </c>
      <c r="K12" s="359">
        <f t="shared" si="10"/>
        <v>-156.31200000000001</v>
      </c>
      <c r="L12" s="359">
        <f t="shared" si="10"/>
        <v>-2672</v>
      </c>
      <c r="M12" s="360">
        <f>AVERAGE(M15:M16)</f>
        <v>-25</v>
      </c>
      <c r="N12" s="359">
        <f t="shared" si="10"/>
        <v>-17.701999999999998</v>
      </c>
      <c r="O12" s="359">
        <f t="shared" si="10"/>
        <v>-80.16</v>
      </c>
      <c r="P12" s="359">
        <f t="shared" si="10"/>
        <v>-116.89999999999999</v>
      </c>
      <c r="Q12" s="359">
        <f t="shared" si="10"/>
        <v>-133.6</v>
      </c>
      <c r="R12" s="359">
        <f t="shared" si="10"/>
        <v>-13.36</v>
      </c>
      <c r="S12" s="359">
        <f t="shared" si="10"/>
        <v>-36.74</v>
      </c>
      <c r="T12" s="359">
        <f t="shared" si="10"/>
        <v>-36.74</v>
      </c>
      <c r="U12" s="359">
        <f t="shared" si="10"/>
        <v>-200.4</v>
      </c>
      <c r="V12" s="360">
        <f>V15</f>
        <v>-10</v>
      </c>
      <c r="W12" s="360">
        <f>AVERAGE(W15:W16)</f>
        <v>-0.72199999999999998</v>
      </c>
      <c r="X12" s="359">
        <f t="shared" si="10"/>
        <v>-334</v>
      </c>
      <c r="Y12" s="359">
        <f t="shared" si="10"/>
        <v>-1670</v>
      </c>
      <c r="Z12" s="359">
        <f t="shared" si="10"/>
        <v>-5911.8</v>
      </c>
      <c r="AA12" s="359">
        <f t="shared" si="10"/>
        <v>-668</v>
      </c>
      <c r="AB12" s="359">
        <f t="shared" si="10"/>
        <v>-83.5</v>
      </c>
      <c r="AC12" s="365">
        <f t="shared" si="10"/>
        <v>-1002</v>
      </c>
      <c r="AD12" s="359">
        <f t="shared" ref="AD12:AE12" si="11">MIN(AD13:AD14)</f>
        <v>-217.1</v>
      </c>
      <c r="AE12" s="359">
        <f t="shared" si="11"/>
        <v>-6.68</v>
      </c>
      <c r="AF12" s="359">
        <f>AF6*HUFeuro</f>
        <v>-270.75</v>
      </c>
    </row>
    <row r="13" spans="1:32">
      <c r="A13">
        <v>334</v>
      </c>
      <c r="B13" s="356"/>
      <c r="C13" s="353" t="s">
        <v>938</v>
      </c>
      <c r="D13" s="354" t="str">
        <f>D12</f>
        <v>HUF/kg</v>
      </c>
      <c r="E13" s="355">
        <f>E$5*$A$13</f>
        <v>-273.88</v>
      </c>
      <c r="F13" s="355">
        <f t="shared" ref="F13:AE13" si="12">F5*$A$13</f>
        <v>-53.44</v>
      </c>
      <c r="G13" s="355">
        <f t="shared" si="12"/>
        <v>-40.08</v>
      </c>
      <c r="H13" s="355">
        <f t="shared" si="12"/>
        <v>-32.147500000000001</v>
      </c>
      <c r="I13" s="355">
        <f t="shared" si="12"/>
        <v>-40.08</v>
      </c>
      <c r="J13" s="355">
        <f t="shared" si="12"/>
        <v>-100.2</v>
      </c>
      <c r="K13" s="355">
        <f t="shared" si="12"/>
        <v>-156.31200000000001</v>
      </c>
      <c r="L13" s="355">
        <f t="shared" si="12"/>
        <v>-2672</v>
      </c>
      <c r="M13" s="355">
        <f t="shared" si="12"/>
        <v>-13.861000000000001</v>
      </c>
      <c r="N13" s="355">
        <f t="shared" si="12"/>
        <v>-17.701999999999998</v>
      </c>
      <c r="O13" s="355">
        <f t="shared" si="12"/>
        <v>-80.16</v>
      </c>
      <c r="P13" s="355">
        <f t="shared" si="12"/>
        <v>-116.89999999999999</v>
      </c>
      <c r="Q13" s="355">
        <f t="shared" si="12"/>
        <v>-133.6</v>
      </c>
      <c r="R13" s="355">
        <f t="shared" si="12"/>
        <v>-13.36</v>
      </c>
      <c r="S13" s="355">
        <f t="shared" si="12"/>
        <v>-36.74</v>
      </c>
      <c r="T13" s="355">
        <f t="shared" si="12"/>
        <v>-36.74</v>
      </c>
      <c r="U13" s="355">
        <f t="shared" si="12"/>
        <v>-200.4</v>
      </c>
      <c r="V13" s="355">
        <f t="shared" si="12"/>
        <v>-6.68</v>
      </c>
      <c r="W13" s="355">
        <f t="shared" si="12"/>
        <v>-11.690000000000001</v>
      </c>
      <c r="X13" s="355">
        <f t="shared" si="12"/>
        <v>-334</v>
      </c>
      <c r="Y13" s="355">
        <f t="shared" si="12"/>
        <v>-1670</v>
      </c>
      <c r="Z13" s="355">
        <f t="shared" si="12"/>
        <v>-5911.8</v>
      </c>
      <c r="AA13" s="355">
        <f t="shared" si="12"/>
        <v>-668</v>
      </c>
      <c r="AB13" s="355">
        <f t="shared" si="12"/>
        <v>-83.5</v>
      </c>
      <c r="AC13" s="366">
        <f t="shared" si="12"/>
        <v>-1002</v>
      </c>
      <c r="AD13" s="355">
        <f t="shared" si="12"/>
        <v>-217.1</v>
      </c>
      <c r="AE13" s="355">
        <f t="shared" si="12"/>
        <v>-6.68</v>
      </c>
    </row>
    <row r="14" spans="1:32">
      <c r="A14">
        <v>361</v>
      </c>
      <c r="B14" s="356"/>
      <c r="C14" s="353" t="s">
        <v>939</v>
      </c>
      <c r="D14" s="354" t="str">
        <f>D13</f>
        <v>HUF/kg</v>
      </c>
      <c r="E14" s="355">
        <f t="shared" ref="E14:AE14" si="13">E6*$A$14</f>
        <v>-306.84999999999997</v>
      </c>
      <c r="F14" s="355">
        <f t="shared" si="13"/>
        <v>-30.685000000000002</v>
      </c>
      <c r="G14" s="355">
        <f t="shared" si="13"/>
        <v>-39.985231678050582</v>
      </c>
      <c r="H14" s="355">
        <f t="shared" si="13"/>
        <v>-48.915500000000002</v>
      </c>
      <c r="I14" s="355">
        <f t="shared" si="13"/>
        <v>-48.915500000000002</v>
      </c>
      <c r="J14" s="355">
        <f t="shared" si="13"/>
        <v>-38.807500000000005</v>
      </c>
      <c r="K14" s="355">
        <f t="shared" si="13"/>
        <v>-108.3</v>
      </c>
      <c r="L14" s="355">
        <f t="shared" si="13"/>
        <v>-2665.6821118700391</v>
      </c>
      <c r="M14" s="355">
        <f t="shared" si="13"/>
        <v>-10.685600000000001</v>
      </c>
      <c r="N14" s="355">
        <f t="shared" si="13"/>
        <v>-15.522999999999998</v>
      </c>
      <c r="O14" s="355">
        <f t="shared" si="13"/>
        <v>-72.2</v>
      </c>
      <c r="P14" s="355">
        <f t="shared" si="13"/>
        <v>-111.91</v>
      </c>
      <c r="Q14" s="355">
        <f t="shared" si="13"/>
        <v>-49.818000000000005</v>
      </c>
      <c r="R14" s="355">
        <f t="shared" si="13"/>
        <v>-8.6820500000000003</v>
      </c>
      <c r="S14" s="355">
        <f t="shared" si="13"/>
        <v>-6.1730999999999998</v>
      </c>
      <c r="T14" s="355">
        <f t="shared" si="13"/>
        <v>-6.1730999999999998</v>
      </c>
      <c r="U14" s="355">
        <f t="shared" si="13"/>
        <v>-199.92615839025294</v>
      </c>
      <c r="V14" s="355">
        <f t="shared" si="13"/>
        <v>-6.6642052796750972</v>
      </c>
      <c r="W14" s="355">
        <f t="shared" si="13"/>
        <v>-11.662359239431421</v>
      </c>
      <c r="X14" s="355">
        <f t="shared" si="13"/>
        <v>-333.21026398375488</v>
      </c>
      <c r="Y14" s="355">
        <f t="shared" si="13"/>
        <v>-1666.0513199187744</v>
      </c>
      <c r="Z14" s="355">
        <f t="shared" si="13"/>
        <v>-5897.8216725124612</v>
      </c>
      <c r="AA14" s="355">
        <f t="shared" si="13"/>
        <v>-666.42052796750977</v>
      </c>
      <c r="AB14" s="355">
        <f t="shared" si="13"/>
        <v>-83.302565995938721</v>
      </c>
      <c r="AC14" s="366">
        <f t="shared" si="13"/>
        <v>-999.63079195126454</v>
      </c>
      <c r="AD14" s="355">
        <f t="shared" si="13"/>
        <v>-127.2095238095238</v>
      </c>
      <c r="AE14" s="355">
        <f t="shared" si="13"/>
        <v>-6.6642052796750972</v>
      </c>
    </row>
    <row r="15" spans="1:32">
      <c r="B15" s="356"/>
      <c r="C15" s="353" t="s">
        <v>911</v>
      </c>
      <c r="D15" s="354" t="str">
        <f>D14</f>
        <v>HUF/kg</v>
      </c>
      <c r="E15" s="355"/>
      <c r="F15" s="355"/>
      <c r="G15" s="355"/>
      <c r="H15" s="355"/>
      <c r="I15" s="355"/>
      <c r="J15" s="355"/>
      <c r="K15" s="355"/>
      <c r="L15" s="355"/>
      <c r="M15" s="355">
        <v>-20</v>
      </c>
      <c r="N15" s="355"/>
      <c r="O15" s="355"/>
      <c r="P15" s="355"/>
      <c r="Q15" s="355"/>
      <c r="R15" s="355"/>
      <c r="S15" s="355"/>
      <c r="T15" s="355"/>
      <c r="U15" s="355"/>
      <c r="V15" s="360">
        <v>-10</v>
      </c>
      <c r="W15" s="360">
        <f>-1/1000*$A$14</f>
        <v>-0.36099999999999999</v>
      </c>
      <c r="X15" s="355"/>
      <c r="Y15" s="355"/>
      <c r="Z15" s="355"/>
      <c r="AA15" s="355"/>
      <c r="AB15" s="355"/>
      <c r="AC15" s="355"/>
      <c r="AD15" s="355"/>
      <c r="AE15" s="355"/>
    </row>
    <row r="16" spans="1:32">
      <c r="B16" s="356"/>
      <c r="C16" s="353" t="s">
        <v>912</v>
      </c>
      <c r="D16" s="354" t="str">
        <f t="shared" ref="D16" si="14">D15</f>
        <v>HUF/kg</v>
      </c>
      <c r="E16" s="355"/>
      <c r="F16" s="355"/>
      <c r="G16" s="355"/>
      <c r="H16" s="355"/>
      <c r="I16" s="355"/>
      <c r="J16" s="355"/>
      <c r="K16" s="355"/>
      <c r="L16" s="355"/>
      <c r="M16" s="355">
        <v>-30</v>
      </c>
      <c r="N16" s="355"/>
      <c r="O16" s="355"/>
      <c r="P16" s="355"/>
      <c r="Q16" s="355"/>
      <c r="R16" s="355"/>
      <c r="S16" s="355"/>
      <c r="T16" s="355"/>
      <c r="U16" s="355"/>
      <c r="V16" s="360">
        <v>-15</v>
      </c>
      <c r="W16" s="360">
        <f>-3/1000*A14</f>
        <v>-1.083</v>
      </c>
      <c r="X16" s="355"/>
      <c r="Y16" s="355"/>
      <c r="Z16" s="355"/>
      <c r="AA16" s="355"/>
      <c r="AB16" s="355"/>
      <c r="AC16" s="355"/>
      <c r="AD16" s="355"/>
    </row>
    <row r="17" spans="1:32">
      <c r="B17" s="370"/>
      <c r="C17" s="371" t="s">
        <v>963</v>
      </c>
      <c r="D17" s="372" t="s">
        <v>1016</v>
      </c>
      <c r="E17" s="373"/>
      <c r="F17" s="374">
        <v>-0.5</v>
      </c>
      <c r="G17" s="374">
        <v>-1.3</v>
      </c>
      <c r="H17" s="374">
        <v>-0.35</v>
      </c>
      <c r="I17" s="374" t="s">
        <v>340</v>
      </c>
      <c r="J17" s="374" t="s">
        <v>340</v>
      </c>
      <c r="K17" s="374" t="s">
        <v>340</v>
      </c>
      <c r="L17" s="374" t="s">
        <v>967</v>
      </c>
      <c r="M17" s="374">
        <v>-0.35</v>
      </c>
      <c r="N17" s="374" t="s">
        <v>340</v>
      </c>
      <c r="O17" s="374" t="s">
        <v>340</v>
      </c>
      <c r="P17" s="374" t="s">
        <v>340</v>
      </c>
      <c r="Q17" s="374" t="s">
        <v>340</v>
      </c>
      <c r="R17" s="374">
        <v>-0.35</v>
      </c>
      <c r="S17" s="374" t="s">
        <v>340</v>
      </c>
      <c r="T17" s="374">
        <v>-0.2</v>
      </c>
      <c r="U17" s="373"/>
      <c r="V17" s="373"/>
      <c r="W17" s="373"/>
      <c r="X17" s="373"/>
      <c r="Y17" s="373"/>
      <c r="Z17" s="373"/>
      <c r="AA17" s="373"/>
      <c r="AB17" s="373"/>
      <c r="AC17" s="373"/>
      <c r="AD17" s="373"/>
      <c r="AE17" s="373"/>
    </row>
    <row r="18" spans="1:32">
      <c r="B18" s="370"/>
      <c r="C18" s="371" t="s">
        <v>964</v>
      </c>
      <c r="D18" s="372" t="s">
        <v>1016</v>
      </c>
      <c r="E18" s="373"/>
      <c r="F18" s="374">
        <v>-0.6</v>
      </c>
      <c r="G18" s="374" t="s">
        <v>340</v>
      </c>
      <c r="H18" s="374" t="s">
        <v>340</v>
      </c>
      <c r="I18" s="374" t="s">
        <v>340</v>
      </c>
      <c r="J18" s="374" t="s">
        <v>340</v>
      </c>
      <c r="K18" s="374" t="s">
        <v>340</v>
      </c>
      <c r="L18" s="374" t="s">
        <v>967</v>
      </c>
      <c r="M18" s="374" t="s">
        <v>340</v>
      </c>
      <c r="N18" s="374" t="s">
        <v>340</v>
      </c>
      <c r="O18" s="374" t="s">
        <v>340</v>
      </c>
      <c r="P18" s="374" t="s">
        <v>340</v>
      </c>
      <c r="Q18" s="374" t="s">
        <v>340</v>
      </c>
      <c r="R18" s="374" t="s">
        <v>340</v>
      </c>
      <c r="S18" s="374" t="s">
        <v>340</v>
      </c>
      <c r="T18" s="374">
        <v>-0.3</v>
      </c>
      <c r="U18" s="373"/>
      <c r="V18" s="373"/>
      <c r="W18" s="373"/>
      <c r="X18" s="373"/>
      <c r="Y18" s="373"/>
      <c r="Z18" s="373"/>
      <c r="AA18" s="373"/>
      <c r="AB18" s="373"/>
      <c r="AC18" s="373"/>
      <c r="AD18" s="373"/>
      <c r="AE18" s="373"/>
    </row>
    <row r="19" spans="1:32">
      <c r="B19" s="377"/>
      <c r="C19" s="378" t="s">
        <v>1015</v>
      </c>
      <c r="D19" s="379" t="s">
        <v>1016</v>
      </c>
      <c r="E19" s="380"/>
      <c r="F19" s="381">
        <v>-0.5</v>
      </c>
      <c r="G19" s="381"/>
      <c r="H19" s="381">
        <v>-1.1000000000000001</v>
      </c>
      <c r="I19" s="381"/>
      <c r="J19" s="381"/>
      <c r="K19" s="381">
        <v>-3.57</v>
      </c>
      <c r="L19" s="381">
        <v>-31.38</v>
      </c>
      <c r="M19" s="381">
        <v>-1.02</v>
      </c>
      <c r="N19" s="381">
        <v>-0.22</v>
      </c>
      <c r="O19" s="381"/>
      <c r="P19" s="381"/>
      <c r="Q19" s="381">
        <v>-0.92</v>
      </c>
      <c r="R19" s="381">
        <v>-0.85</v>
      </c>
      <c r="S19" s="381">
        <v>-1.17</v>
      </c>
      <c r="T19" s="381">
        <f>S19</f>
        <v>-1.17</v>
      </c>
      <c r="U19" s="380"/>
      <c r="V19" s="380"/>
      <c r="W19" s="380"/>
      <c r="X19" s="380">
        <v>-3.15</v>
      </c>
      <c r="Y19" s="380"/>
      <c r="Z19" s="380"/>
      <c r="AA19" s="380">
        <v>-13</v>
      </c>
      <c r="AB19" s="380"/>
      <c r="AC19" s="380"/>
      <c r="AD19" s="380">
        <v>-2.2999999999999998</v>
      </c>
      <c r="AE19" s="380"/>
    </row>
    <row r="20" spans="1:32">
      <c r="A20" s="149">
        <v>6.89</v>
      </c>
      <c r="B20" s="370"/>
      <c r="C20" s="371" t="s">
        <v>1013</v>
      </c>
      <c r="D20" s="372" t="s">
        <v>1016</v>
      </c>
      <c r="E20" s="373">
        <f t="shared" ref="E20:AE20" si="15">E$5*$A$20</f>
        <v>-5.649799999999999</v>
      </c>
      <c r="F20" s="373">
        <f t="shared" si="15"/>
        <v>-1.1024</v>
      </c>
      <c r="G20" s="373">
        <f t="shared" si="15"/>
        <v>-0.82679999999999998</v>
      </c>
      <c r="H20" s="373">
        <f t="shared" si="15"/>
        <v>-0.66316249999999999</v>
      </c>
      <c r="I20" s="373">
        <f t="shared" si="15"/>
        <v>-0.82679999999999998</v>
      </c>
      <c r="J20" s="373">
        <f t="shared" si="15"/>
        <v>-2.0669999999999997</v>
      </c>
      <c r="K20" s="373">
        <f t="shared" si="15"/>
        <v>-3.2245200000000001</v>
      </c>
      <c r="L20" s="373">
        <f t="shared" si="15"/>
        <v>-55.12</v>
      </c>
      <c r="M20" s="373">
        <f t="shared" si="15"/>
        <v>-0.28593499999999999</v>
      </c>
      <c r="N20" s="373">
        <f t="shared" si="15"/>
        <v>-0.36516999999999999</v>
      </c>
      <c r="O20" s="373">
        <f t="shared" si="15"/>
        <v>-1.6536</v>
      </c>
      <c r="P20" s="373">
        <f t="shared" si="15"/>
        <v>-2.4114999999999998</v>
      </c>
      <c r="Q20" s="373">
        <f t="shared" si="15"/>
        <v>-2.7560000000000002</v>
      </c>
      <c r="R20" s="373">
        <f t="shared" si="15"/>
        <v>-0.27560000000000001</v>
      </c>
      <c r="S20" s="373">
        <f t="shared" si="15"/>
        <v>-0.75790000000000002</v>
      </c>
      <c r="T20" s="373">
        <f t="shared" si="15"/>
        <v>-0.75790000000000002</v>
      </c>
      <c r="U20" s="373">
        <f t="shared" si="15"/>
        <v>-4.1339999999999995</v>
      </c>
      <c r="V20" s="373">
        <f t="shared" si="15"/>
        <v>-0.13780000000000001</v>
      </c>
      <c r="W20" s="373">
        <f t="shared" si="15"/>
        <v>-0.24115</v>
      </c>
      <c r="X20" s="373">
        <f t="shared" si="15"/>
        <v>-6.89</v>
      </c>
      <c r="Y20" s="373">
        <f t="shared" si="15"/>
        <v>-34.449999999999996</v>
      </c>
      <c r="Z20" s="373">
        <f t="shared" si="15"/>
        <v>-121.95299999999999</v>
      </c>
      <c r="AA20" s="373">
        <f t="shared" si="15"/>
        <v>-13.78</v>
      </c>
      <c r="AB20" s="373">
        <f t="shared" si="15"/>
        <v>-1.7224999999999999</v>
      </c>
      <c r="AC20" s="373">
        <f t="shared" si="15"/>
        <v>-20.669999999999998</v>
      </c>
      <c r="AD20" s="373">
        <f t="shared" si="15"/>
        <v>-4.4785000000000004</v>
      </c>
      <c r="AE20" s="373">
        <f t="shared" si="15"/>
        <v>-0.13780000000000001</v>
      </c>
    </row>
    <row r="21" spans="1:32">
      <c r="A21" s="149">
        <v>7.45</v>
      </c>
      <c r="B21" s="370"/>
      <c r="C21" s="371" t="s">
        <v>1014</v>
      </c>
      <c r="D21" s="372" t="s">
        <v>1016</v>
      </c>
      <c r="E21" s="373">
        <f>E$6*$A21</f>
        <v>-6.3324999999999996</v>
      </c>
      <c r="F21" s="373">
        <f t="shared" ref="F21:AE21" si="16">F$6*$A21</f>
        <v>-0.63325000000000009</v>
      </c>
      <c r="G21" s="373">
        <f t="shared" si="16"/>
        <v>-0.82517998892375866</v>
      </c>
      <c r="H21" s="373">
        <f t="shared" si="16"/>
        <v>-1.0094750000000001</v>
      </c>
      <c r="I21" s="373">
        <f t="shared" si="16"/>
        <v>-1.0094750000000001</v>
      </c>
      <c r="J21" s="373">
        <f t="shared" si="16"/>
        <v>-0.80087500000000011</v>
      </c>
      <c r="K21" s="373">
        <f t="shared" si="16"/>
        <v>-2.2349999999999999</v>
      </c>
      <c r="L21" s="373">
        <f t="shared" si="16"/>
        <v>-55.011999261583902</v>
      </c>
      <c r="M21" s="373">
        <f t="shared" si="16"/>
        <v>-0.22052000000000002</v>
      </c>
      <c r="N21" s="373">
        <f t="shared" si="16"/>
        <v>-0.32034999999999997</v>
      </c>
      <c r="O21" s="373">
        <f t="shared" si="16"/>
        <v>-1.4900000000000002</v>
      </c>
      <c r="P21" s="373">
        <f t="shared" si="16"/>
        <v>-2.3094999999999999</v>
      </c>
      <c r="Q21" s="373">
        <f t="shared" si="16"/>
        <v>-1.0281</v>
      </c>
      <c r="R21" s="373">
        <f t="shared" si="16"/>
        <v>-0.17917250000000001</v>
      </c>
      <c r="S21" s="373">
        <f t="shared" si="16"/>
        <v>-0.12739500000000001</v>
      </c>
      <c r="T21" s="373">
        <f t="shared" si="16"/>
        <v>-0.12739500000000001</v>
      </c>
      <c r="U21" s="373">
        <f t="shared" si="16"/>
        <v>-4.1258999446187934</v>
      </c>
      <c r="V21" s="373">
        <f t="shared" si="16"/>
        <v>-0.13752999815395975</v>
      </c>
      <c r="W21" s="373">
        <f t="shared" si="16"/>
        <v>-0.24067749676942962</v>
      </c>
      <c r="X21" s="373">
        <f t="shared" si="16"/>
        <v>-6.8764999076979878</v>
      </c>
      <c r="Y21" s="373">
        <f t="shared" si="16"/>
        <v>-34.382499538489945</v>
      </c>
      <c r="Z21" s="373">
        <f t="shared" si="16"/>
        <v>-121.71404836625439</v>
      </c>
      <c r="AA21" s="373">
        <f t="shared" si="16"/>
        <v>-13.752999815395976</v>
      </c>
      <c r="AB21" s="373">
        <f t="shared" si="16"/>
        <v>-1.719124976924497</v>
      </c>
      <c r="AC21" s="373">
        <f t="shared" si="16"/>
        <v>-20.629499723093964</v>
      </c>
      <c r="AD21" s="373">
        <f t="shared" si="16"/>
        <v>-2.6252380952380951</v>
      </c>
      <c r="AE21" s="373">
        <f t="shared" si="16"/>
        <v>-0.13752999815395975</v>
      </c>
    </row>
    <row r="22" spans="1:32">
      <c r="A22" s="386">
        <v>2.061E-2</v>
      </c>
      <c r="B22" s="370"/>
      <c r="C22" s="371" t="s">
        <v>1017</v>
      </c>
      <c r="D22" s="372" t="s">
        <v>1016</v>
      </c>
      <c r="E22" s="373">
        <f>E$12*$A22</f>
        <v>-6.3241784999999995</v>
      </c>
      <c r="F22" s="373">
        <f t="shared" ref="F22:AE22" si="17">F$12*$A22</f>
        <v>-1.1013983999999999</v>
      </c>
      <c r="G22" s="373">
        <f t="shared" si="17"/>
        <v>-0.82604879999999992</v>
      </c>
      <c r="H22" s="373">
        <f t="shared" si="17"/>
        <v>-1.0081484549999999</v>
      </c>
      <c r="I22" s="373">
        <f t="shared" si="17"/>
        <v>-1.0081484549999999</v>
      </c>
      <c r="J22" s="373">
        <f t="shared" si="17"/>
        <v>-2.0651220000000001</v>
      </c>
      <c r="K22" s="373">
        <f t="shared" si="17"/>
        <v>-3.2215903200000002</v>
      </c>
      <c r="L22" s="373">
        <f t="shared" si="17"/>
        <v>-55.069919999999996</v>
      </c>
      <c r="M22" s="373">
        <f t="shared" si="17"/>
        <v>-0.51524999999999999</v>
      </c>
      <c r="N22" s="373">
        <f t="shared" si="17"/>
        <v>-0.36483821999999994</v>
      </c>
      <c r="O22" s="373">
        <f t="shared" si="17"/>
        <v>-1.6520975999999998</v>
      </c>
      <c r="P22" s="373">
        <f t="shared" si="17"/>
        <v>-2.4093089999999999</v>
      </c>
      <c r="Q22" s="373">
        <f t="shared" si="17"/>
        <v>-2.7534959999999997</v>
      </c>
      <c r="R22" s="373">
        <f t="shared" si="17"/>
        <v>-0.27534959999999997</v>
      </c>
      <c r="S22" s="373">
        <f t="shared" si="17"/>
        <v>-0.75721140000000009</v>
      </c>
      <c r="T22" s="373">
        <f t="shared" si="17"/>
        <v>-0.75721140000000009</v>
      </c>
      <c r="U22" s="373">
        <f t="shared" si="17"/>
        <v>-4.1302440000000002</v>
      </c>
      <c r="V22" s="373">
        <f t="shared" si="17"/>
        <v>-0.20610000000000001</v>
      </c>
      <c r="W22" s="373">
        <f t="shared" si="17"/>
        <v>-1.488042E-2</v>
      </c>
      <c r="X22" s="373">
        <f t="shared" si="17"/>
        <v>-6.8837399999999995</v>
      </c>
      <c r="Y22" s="373">
        <f t="shared" si="17"/>
        <v>-34.418700000000001</v>
      </c>
      <c r="Z22" s="373">
        <f t="shared" si="17"/>
        <v>-121.842198</v>
      </c>
      <c r="AA22" s="373">
        <f t="shared" si="17"/>
        <v>-13.767479999999999</v>
      </c>
      <c r="AB22" s="373">
        <f t="shared" si="17"/>
        <v>-1.7209349999999999</v>
      </c>
      <c r="AC22" s="373">
        <f t="shared" si="17"/>
        <v>-20.651219999999999</v>
      </c>
      <c r="AD22" s="373">
        <f t="shared" si="17"/>
        <v>-4.474431</v>
      </c>
      <c r="AE22" s="373">
        <f t="shared" si="17"/>
        <v>-0.13767479999999999</v>
      </c>
    </row>
    <row r="23" spans="1:32">
      <c r="B23" s="338">
        <f>AVERAGE(E23:W23,X23:AF23)</f>
        <v>-9.3049841079010527</v>
      </c>
      <c r="C23" s="385" t="s">
        <v>965</v>
      </c>
      <c r="D23" s="372" t="s">
        <v>1016</v>
      </c>
      <c r="E23" s="382">
        <f>AVERAGE(E20:E21)</f>
        <v>-5.9911499999999993</v>
      </c>
      <c r="F23" s="380">
        <f t="shared" ref="F23" si="18">F19</f>
        <v>-0.5</v>
      </c>
      <c r="G23" s="375">
        <f>MIN(G17:G18)</f>
        <v>-1.3</v>
      </c>
      <c r="H23" s="380">
        <f t="shared" ref="H23" si="19">H19</f>
        <v>-1.1000000000000001</v>
      </c>
      <c r="I23" s="382">
        <f t="shared" ref="I23:J23" si="20">AVERAGE(I20:I21)</f>
        <v>-0.91813750000000005</v>
      </c>
      <c r="J23" s="382">
        <f t="shared" si="20"/>
        <v>-1.4339374999999999</v>
      </c>
      <c r="K23" s="380">
        <f t="shared" ref="K23" si="21">K19</f>
        <v>-3.57</v>
      </c>
      <c r="L23" s="380">
        <f t="shared" ref="L23" si="22">L19</f>
        <v>-31.38</v>
      </c>
      <c r="M23" s="380">
        <f t="shared" ref="M23" si="23">M19</f>
        <v>-1.02</v>
      </c>
      <c r="N23" s="380">
        <f t="shared" ref="N23" si="24">N19</f>
        <v>-0.22</v>
      </c>
      <c r="O23" s="382">
        <f t="shared" ref="O23:P23" si="25">AVERAGE(O20:O21)</f>
        <v>-1.5718000000000001</v>
      </c>
      <c r="P23" s="382">
        <f t="shared" si="25"/>
        <v>-2.3605</v>
      </c>
      <c r="Q23" s="380">
        <f t="shared" ref="Q23" si="26">Q19</f>
        <v>-0.92</v>
      </c>
      <c r="R23" s="375">
        <f>MIN(R17:R18)</f>
        <v>-0.35</v>
      </c>
      <c r="S23" s="375">
        <f>T23</f>
        <v>-0.3</v>
      </c>
      <c r="T23" s="375">
        <f>MIN(T17:T18)</f>
        <v>-0.3</v>
      </c>
      <c r="U23" s="382">
        <f t="shared" ref="U23:W23" si="27">AVERAGE(U20:U21)</f>
        <v>-4.1299499723093964</v>
      </c>
      <c r="V23" s="382">
        <f t="shared" si="27"/>
        <v>-0.13766499907697988</v>
      </c>
      <c r="W23" s="382">
        <f t="shared" si="27"/>
        <v>-0.2409137483847148</v>
      </c>
      <c r="X23" s="380">
        <f>X19</f>
        <v>-3.15</v>
      </c>
      <c r="Y23" s="382">
        <f t="shared" ref="Y23:Z23" si="28">AVERAGE(Y20:Y21)</f>
        <v>-34.41624976924497</v>
      </c>
      <c r="Z23" s="382">
        <f t="shared" si="28"/>
        <v>-121.8335241831272</v>
      </c>
      <c r="AA23" s="380">
        <f>AA19</f>
        <v>-13</v>
      </c>
      <c r="AB23" s="382">
        <f t="shared" ref="AB23:AC23" si="29">AVERAGE(AB20:AB21)</f>
        <v>-1.7208124884622484</v>
      </c>
      <c r="AC23" s="382">
        <f t="shared" si="29"/>
        <v>-20.649749861546979</v>
      </c>
      <c r="AD23" s="380">
        <f>AD19</f>
        <v>-2.2999999999999998</v>
      </c>
      <c r="AE23" s="382">
        <f>AVERAGE(AE20:AE21)</f>
        <v>-0.13766499907697988</v>
      </c>
      <c r="AF23" s="382">
        <f>AF6*A21</f>
        <v>-5.5875000000000004</v>
      </c>
    </row>
    <row r="24" spans="1:32">
      <c r="B24" s="338"/>
      <c r="C24" s="371" t="s">
        <v>1800</v>
      </c>
      <c r="D24" s="372" t="s">
        <v>1790</v>
      </c>
      <c r="E24" s="745">
        <v>5.1000000000000004E-3</v>
      </c>
      <c r="F24" s="745"/>
      <c r="G24" s="745"/>
      <c r="H24" s="745"/>
      <c r="I24" s="745"/>
      <c r="J24" s="745"/>
      <c r="K24" s="745">
        <v>5.1000000000000004E-3</v>
      </c>
      <c r="L24" s="745"/>
      <c r="M24" s="745"/>
      <c r="N24" s="745"/>
      <c r="O24" s="745">
        <v>0.03</v>
      </c>
      <c r="P24" s="745"/>
      <c r="Q24" s="745"/>
      <c r="R24" s="745"/>
      <c r="S24" s="745"/>
      <c r="T24" s="745"/>
      <c r="U24" s="745"/>
      <c r="V24" s="745">
        <v>0.03</v>
      </c>
      <c r="W24" s="745"/>
      <c r="X24" s="745"/>
      <c r="Y24" s="745"/>
      <c r="Z24" s="745">
        <v>1.4999999999999999E-2</v>
      </c>
      <c r="AA24" s="745"/>
      <c r="AB24" s="745"/>
      <c r="AC24" s="745"/>
      <c r="AD24" s="745"/>
      <c r="AE24" s="745"/>
    </row>
    <row r="25" spans="1:32">
      <c r="A25" s="149"/>
      <c r="B25" s="338"/>
      <c r="C25" s="371" t="s">
        <v>1801</v>
      </c>
      <c r="D25" s="372" t="s">
        <v>1790</v>
      </c>
      <c r="E25" s="745"/>
      <c r="F25" s="745"/>
      <c r="G25" s="745"/>
      <c r="H25" s="745"/>
      <c r="I25" s="745"/>
      <c r="J25" s="745"/>
      <c r="K25" s="745"/>
      <c r="L25" s="745"/>
      <c r="M25" s="745"/>
      <c r="N25" s="745"/>
      <c r="O25" s="745"/>
      <c r="P25" s="745"/>
      <c r="Q25" s="745"/>
      <c r="R25" s="745"/>
      <c r="S25" s="745"/>
      <c r="T25" s="745"/>
      <c r="U25" s="745"/>
      <c r="V25" s="745"/>
      <c r="W25" s="745"/>
      <c r="X25" s="745"/>
      <c r="Y25" s="745"/>
      <c r="Z25" s="745"/>
      <c r="AA25" s="745"/>
      <c r="AB25" s="745"/>
      <c r="AC25" s="745"/>
      <c r="AD25" s="745"/>
      <c r="AE25" s="745"/>
    </row>
    <row r="26" spans="1:32">
      <c r="B26" s="338"/>
      <c r="C26" s="371" t="s">
        <v>1802</v>
      </c>
      <c r="D26" s="372" t="s">
        <v>1790</v>
      </c>
      <c r="F26" s="745"/>
      <c r="G26" s="745"/>
      <c r="H26" s="745"/>
      <c r="I26" s="745"/>
      <c r="J26" s="745"/>
      <c r="K26" s="745"/>
      <c r="L26" s="745"/>
      <c r="M26" s="745"/>
      <c r="N26" s="745"/>
      <c r="O26" s="745"/>
      <c r="P26" s="745"/>
      <c r="Q26" s="745"/>
      <c r="R26" s="745"/>
      <c r="S26" s="745"/>
      <c r="T26" s="745"/>
      <c r="U26" s="745"/>
      <c r="V26" s="745">
        <v>2.7E-2</v>
      </c>
      <c r="W26" s="745"/>
      <c r="X26" s="745"/>
      <c r="Y26" s="745"/>
      <c r="Z26" s="745">
        <v>1.55E-2</v>
      </c>
      <c r="AA26" s="745"/>
      <c r="AB26" s="745"/>
      <c r="AC26" s="745"/>
      <c r="AD26" s="745">
        <v>7.4999999999999997E-3</v>
      </c>
      <c r="AE26" s="745"/>
    </row>
    <row r="27" spans="1:32">
      <c r="B27" s="783">
        <f>AVERAGE(E27:W27,X27:AF27)</f>
        <v>0.56352360175438587</v>
      </c>
      <c r="C27" s="752" t="s">
        <v>1799</v>
      </c>
      <c r="D27" s="753" t="s">
        <v>1790</v>
      </c>
      <c r="E27" s="754">
        <v>0.69850000000000001</v>
      </c>
      <c r="F27" s="754" t="s">
        <v>2435</v>
      </c>
      <c r="G27" s="754" t="s">
        <v>2435</v>
      </c>
      <c r="H27" s="754">
        <v>2.9000000000000001E-2</v>
      </c>
      <c r="I27" s="754" t="s">
        <v>2435</v>
      </c>
      <c r="J27" s="754">
        <v>8.3750000000000005E-2</v>
      </c>
      <c r="K27" s="754">
        <v>0.142264</v>
      </c>
      <c r="L27" s="754" t="s">
        <v>2435</v>
      </c>
      <c r="M27" s="754">
        <v>2.8349999999999997E-2</v>
      </c>
      <c r="N27" s="754">
        <v>2.0449999999999999E-2</v>
      </c>
      <c r="O27" s="754">
        <v>0.22257849999999998</v>
      </c>
      <c r="P27" s="754">
        <v>0.25055250000000001</v>
      </c>
      <c r="Q27" s="754">
        <v>0.122</v>
      </c>
      <c r="R27" s="754" t="s">
        <v>2435</v>
      </c>
      <c r="S27" s="754" t="s">
        <v>2435</v>
      </c>
      <c r="T27" s="754" t="s">
        <v>2435</v>
      </c>
      <c r="U27" s="754" t="s">
        <v>2435</v>
      </c>
      <c r="V27" s="754">
        <v>3.2500000000000001E-2</v>
      </c>
      <c r="W27" s="754">
        <v>0.2205</v>
      </c>
      <c r="X27" s="754">
        <v>0.89478974999999994</v>
      </c>
      <c r="Y27" s="754">
        <v>1.3625</v>
      </c>
      <c r="Z27" s="754">
        <v>3.1657083333333329</v>
      </c>
      <c r="AA27" s="754">
        <v>1.71</v>
      </c>
      <c r="AB27" s="754">
        <v>0.19700000000000001</v>
      </c>
      <c r="AC27" s="754">
        <v>0.55542999999999998</v>
      </c>
      <c r="AD27" s="754">
        <v>0.27068560000000003</v>
      </c>
      <c r="AE27" s="754">
        <v>0.70038975000000003</v>
      </c>
    </row>
    <row r="28" spans="1:32">
      <c r="A28">
        <v>1.2091000000000001</v>
      </c>
      <c r="B28" s="338"/>
      <c r="C28" s="371" t="s">
        <v>1793</v>
      </c>
      <c r="D28" s="372" t="s">
        <v>1790</v>
      </c>
      <c r="E28" s="751">
        <f t="shared" ref="E28:AE28" si="30">E$5/$A$28</f>
        <v>-0.67819038954594324</v>
      </c>
      <c r="F28" s="746">
        <f t="shared" si="30"/>
        <v>-0.13232983210652552</v>
      </c>
      <c r="G28" s="746">
        <f t="shared" si="30"/>
        <v>-9.9247374079894132E-2</v>
      </c>
      <c r="H28" s="746">
        <f t="shared" si="30"/>
        <v>-7.960466462658175E-2</v>
      </c>
      <c r="I28" s="746">
        <f t="shared" si="30"/>
        <v>-9.9247374079894132E-2</v>
      </c>
      <c r="J28" s="746">
        <f t="shared" si="30"/>
        <v>-0.24811843519973531</v>
      </c>
      <c r="K28" s="746">
        <f t="shared" si="30"/>
        <v>-0.38706475891158715</v>
      </c>
      <c r="L28" s="746">
        <f t="shared" si="30"/>
        <v>-6.6164916053262752</v>
      </c>
      <c r="M28" s="746">
        <f t="shared" si="30"/>
        <v>-3.4323050202630052E-2</v>
      </c>
      <c r="N28" s="746">
        <f t="shared" si="30"/>
        <v>-4.3834256885286575E-2</v>
      </c>
      <c r="O28" s="746">
        <f t="shared" si="30"/>
        <v>-0.19849474815978826</v>
      </c>
      <c r="P28" s="746">
        <f t="shared" si="30"/>
        <v>-0.28947150773302455</v>
      </c>
      <c r="Q28" s="746">
        <f t="shared" si="30"/>
        <v>-0.33082458026631378</v>
      </c>
      <c r="R28" s="746">
        <f t="shared" si="30"/>
        <v>-3.308245802663138E-2</v>
      </c>
      <c r="S28" s="746">
        <f t="shared" si="30"/>
        <v>-9.0976759573236282E-2</v>
      </c>
      <c r="T28" s="746">
        <f t="shared" si="30"/>
        <v>-9.0976759573236282E-2</v>
      </c>
      <c r="U28" s="746">
        <f t="shared" si="30"/>
        <v>-0.49623687039947062</v>
      </c>
      <c r="V28" s="746">
        <f t="shared" si="30"/>
        <v>-1.654122901331569E-2</v>
      </c>
      <c r="W28" s="746">
        <f t="shared" si="30"/>
        <v>-2.8947150773302458E-2</v>
      </c>
      <c r="X28" s="746">
        <f t="shared" si="30"/>
        <v>-0.8270614506657844</v>
      </c>
      <c r="Y28" s="746">
        <f t="shared" si="30"/>
        <v>-4.1353072533289224</v>
      </c>
      <c r="Z28" s="746">
        <f t="shared" si="30"/>
        <v>-14.638987676784383</v>
      </c>
      <c r="AA28" s="746">
        <f t="shared" si="30"/>
        <v>-1.6541229013315688</v>
      </c>
      <c r="AB28" s="746">
        <f t="shared" si="30"/>
        <v>-0.2067653626664461</v>
      </c>
      <c r="AC28" s="746">
        <f t="shared" si="30"/>
        <v>-2.4811843519973533</v>
      </c>
      <c r="AD28" s="746">
        <f t="shared" si="30"/>
        <v>-0.53758994293275986</v>
      </c>
      <c r="AE28" s="746">
        <f t="shared" si="30"/>
        <v>-1.654122901331569E-2</v>
      </c>
    </row>
    <row r="29" spans="1:32">
      <c r="B29" s="781">
        <f>AVERAGE(E29:W29,X29:AF29)</f>
        <v>-0.67991308029417774</v>
      </c>
      <c r="C29" s="385" t="s">
        <v>1794</v>
      </c>
      <c r="D29" s="372" t="s">
        <v>1790</v>
      </c>
      <c r="E29" s="755">
        <f>-E27</f>
        <v>-0.69850000000000001</v>
      </c>
      <c r="F29" s="745">
        <f t="shared" ref="F29:U29" si="31">F28</f>
        <v>-0.13232983210652552</v>
      </c>
      <c r="G29" s="745">
        <f t="shared" si="31"/>
        <v>-9.9247374079894132E-2</v>
      </c>
      <c r="H29" s="755">
        <f>-H27</f>
        <v>-2.9000000000000001E-2</v>
      </c>
      <c r="I29" s="745">
        <f t="shared" si="31"/>
        <v>-9.9247374079894132E-2</v>
      </c>
      <c r="J29" s="755">
        <f>-J27</f>
        <v>-8.3750000000000005E-2</v>
      </c>
      <c r="K29" s="755">
        <f>-K27</f>
        <v>-0.142264</v>
      </c>
      <c r="L29" s="745">
        <f t="shared" si="31"/>
        <v>-6.6164916053262752</v>
      </c>
      <c r="M29" s="755">
        <f>-M27</f>
        <v>-2.8349999999999997E-2</v>
      </c>
      <c r="N29" s="755">
        <f>-N27</f>
        <v>-2.0449999999999999E-2</v>
      </c>
      <c r="O29" s="755">
        <f>-O27</f>
        <v>-0.22257849999999998</v>
      </c>
      <c r="P29" s="755">
        <f>-P27</f>
        <v>-0.25055250000000001</v>
      </c>
      <c r="Q29" s="755">
        <f>-Q27</f>
        <v>-0.122</v>
      </c>
      <c r="R29" s="745">
        <f t="shared" si="31"/>
        <v>-3.308245802663138E-2</v>
      </c>
      <c r="S29" s="745">
        <f t="shared" si="31"/>
        <v>-9.0976759573236282E-2</v>
      </c>
      <c r="T29" s="745">
        <f t="shared" si="31"/>
        <v>-9.0976759573236282E-2</v>
      </c>
      <c r="U29" s="745">
        <f t="shared" si="31"/>
        <v>-0.49623687039947062</v>
      </c>
      <c r="V29" s="755">
        <f>-V27</f>
        <v>-3.2500000000000001E-2</v>
      </c>
      <c r="W29" s="755">
        <f>-W27</f>
        <v>-0.2205</v>
      </c>
      <c r="X29" s="755">
        <f t="shared" ref="X29:AE29" si="32">-X27</f>
        <v>-0.89478974999999994</v>
      </c>
      <c r="Y29" s="755">
        <f t="shared" si="32"/>
        <v>-1.3625</v>
      </c>
      <c r="Z29" s="755">
        <f t="shared" si="32"/>
        <v>-3.1657083333333329</v>
      </c>
      <c r="AA29" s="755">
        <f t="shared" si="32"/>
        <v>-1.71</v>
      </c>
      <c r="AB29" s="755">
        <f t="shared" si="32"/>
        <v>-0.19700000000000001</v>
      </c>
      <c r="AC29" s="755">
        <f t="shared" si="32"/>
        <v>-0.55542999999999998</v>
      </c>
      <c r="AD29" s="755">
        <f t="shared" si="32"/>
        <v>-0.27068560000000003</v>
      </c>
      <c r="AE29" s="755">
        <f t="shared" si="32"/>
        <v>-0.70038975000000003</v>
      </c>
      <c r="AF29" s="755">
        <f>AF5/A28</f>
        <v>-0.67202878173848302</v>
      </c>
    </row>
    <row r="30" spans="1:32">
      <c r="B30" s="349"/>
      <c r="D30" s="295"/>
      <c r="E30" s="289"/>
      <c r="F30" s="289"/>
      <c r="G30" s="289"/>
      <c r="H30" s="289"/>
      <c r="I30" s="289"/>
      <c r="J30" s="289"/>
      <c r="K30" s="289"/>
      <c r="L30" s="289"/>
      <c r="M30" s="289"/>
      <c r="N30" s="289"/>
      <c r="O30" s="289"/>
      <c r="P30" s="289"/>
      <c r="Q30" s="289"/>
      <c r="R30" s="289"/>
      <c r="S30" s="289"/>
      <c r="T30" s="289"/>
      <c r="U30" s="289"/>
      <c r="V30" s="289"/>
      <c r="W30" s="289"/>
    </row>
    <row r="31" spans="1:32">
      <c r="A31" t="e">
        <f>IF(Währung="CHF",1,IF(Währung="Euro",Euro,IF(Währung="HUF",HUFchf,DKKchf)))</f>
        <v>#N/A</v>
      </c>
      <c r="C31" t="s">
        <v>936</v>
      </c>
      <c r="D31" s="149"/>
      <c r="E31" t="b">
        <f t="shared" ref="E31:W31" si="33">E2=E38</f>
        <v>1</v>
      </c>
      <c r="F31" t="b">
        <f t="shared" si="33"/>
        <v>1</v>
      </c>
      <c r="G31" t="b">
        <f t="shared" si="33"/>
        <v>1</v>
      </c>
      <c r="H31" t="b">
        <f t="shared" si="33"/>
        <v>1</v>
      </c>
      <c r="I31" t="b">
        <f t="shared" si="33"/>
        <v>1</v>
      </c>
      <c r="J31" t="b">
        <f t="shared" si="33"/>
        <v>1</v>
      </c>
      <c r="K31" t="b">
        <f t="shared" si="33"/>
        <v>1</v>
      </c>
      <c r="L31" t="b">
        <f t="shared" si="33"/>
        <v>1</v>
      </c>
      <c r="M31" t="b">
        <f t="shared" si="33"/>
        <v>1</v>
      </c>
      <c r="N31" t="b">
        <f t="shared" si="33"/>
        <v>1</v>
      </c>
      <c r="O31" t="b">
        <f t="shared" si="33"/>
        <v>1</v>
      </c>
      <c r="P31" t="b">
        <f t="shared" si="33"/>
        <v>1</v>
      </c>
      <c r="Q31" t="b">
        <f t="shared" si="33"/>
        <v>1</v>
      </c>
      <c r="R31" t="b">
        <f t="shared" si="33"/>
        <v>1</v>
      </c>
      <c r="S31" t="b">
        <f t="shared" si="33"/>
        <v>1</v>
      </c>
      <c r="T31" t="b">
        <f t="shared" si="33"/>
        <v>1</v>
      </c>
      <c r="U31" t="b">
        <f t="shared" si="33"/>
        <v>1</v>
      </c>
      <c r="V31" t="b">
        <f t="shared" si="33"/>
        <v>1</v>
      </c>
      <c r="W31" t="b">
        <f t="shared" si="33"/>
        <v>1</v>
      </c>
    </row>
    <row r="32" spans="1:32">
      <c r="B32" s="750">
        <f>-Durchschnitt/B5</f>
        <v>0.21472516332864411</v>
      </c>
      <c r="C32" s="149" t="s">
        <v>909</v>
      </c>
      <c r="D32" s="295" t="s">
        <v>908</v>
      </c>
      <c r="E32" s="337">
        <f t="shared" ref="E32:AC32" si="34">-E39/E5</f>
        <v>1.3916153658536585</v>
      </c>
      <c r="F32" s="337">
        <f t="shared" si="34"/>
        <v>0.41342496875000001</v>
      </c>
      <c r="G32" s="337">
        <f t="shared" si="34"/>
        <v>0.20099533333333333</v>
      </c>
      <c r="H32" s="337">
        <f t="shared" si="34"/>
        <v>0.36147713246753249</v>
      </c>
      <c r="I32" s="337">
        <f t="shared" si="34"/>
        <v>0.36015344999999999</v>
      </c>
      <c r="J32" s="337">
        <f t="shared" si="34"/>
        <v>0.4285153333333333</v>
      </c>
      <c r="K32" s="337">
        <f t="shared" si="34"/>
        <v>8.2053955128205111E-2</v>
      </c>
      <c r="L32" s="337">
        <f t="shared" si="34"/>
        <v>0.33672532500000002</v>
      </c>
      <c r="M32" s="337">
        <f t="shared" si="34"/>
        <v>0.50455074698795177</v>
      </c>
      <c r="N32" s="337">
        <f t="shared" si="34"/>
        <v>0.22094960377358491</v>
      </c>
      <c r="O32" s="337">
        <f t="shared" si="34"/>
        <v>7.5516037500000008E-2</v>
      </c>
      <c r="P32" s="337">
        <f t="shared" si="34"/>
        <v>0.69593285714285724</v>
      </c>
      <c r="Q32" s="337">
        <f t="shared" si="34"/>
        <v>0.39835472500000002</v>
      </c>
      <c r="R32" s="337">
        <f t="shared" si="34"/>
        <v>1.1995909499999999</v>
      </c>
      <c r="S32" s="337">
        <f t="shared" si="34"/>
        <v>0.12531787272727271</v>
      </c>
      <c r="T32" s="337">
        <f t="shared" si="34"/>
        <v>9.670405454545454E-2</v>
      </c>
      <c r="U32" s="337">
        <f t="shared" si="34"/>
        <v>2.191473666666667E-2</v>
      </c>
      <c r="V32" s="337">
        <f t="shared" si="34"/>
        <v>0.16611962</v>
      </c>
      <c r="W32" s="337">
        <f t="shared" si="34"/>
        <v>7.1329217142857129E-2</v>
      </c>
      <c r="X32" s="337">
        <f t="shared" si="34"/>
        <v>4.3371291999999999E-2</v>
      </c>
      <c r="Y32" s="337">
        <f t="shared" si="34"/>
        <v>3.9844553999999997E-2</v>
      </c>
      <c r="Z32" s="337">
        <f t="shared" si="34"/>
        <v>0.19116356497175141</v>
      </c>
      <c r="AA32" s="337">
        <f t="shared" si="34"/>
        <v>4.2658985500000003E-2</v>
      </c>
      <c r="AB32" s="337">
        <f t="shared" si="34"/>
        <v>0.27657904799999999</v>
      </c>
      <c r="AC32" s="337">
        <f t="shared" si="34"/>
        <v>1.7117009999999998E-2</v>
      </c>
    </row>
    <row r="33" spans="1:32">
      <c r="B33" s="750">
        <f>-Durchschnitt/B6</f>
        <v>0.23815123872477353</v>
      </c>
      <c r="C33" s="149" t="s">
        <v>909</v>
      </c>
      <c r="D33" s="295" t="s">
        <v>1797</v>
      </c>
      <c r="E33" s="337">
        <f t="shared" ref="E33:AC33" si="35">-E39/E6</f>
        <v>1.3424995294117648</v>
      </c>
      <c r="F33" s="337">
        <f t="shared" si="35"/>
        <v>0.77821170588235289</v>
      </c>
      <c r="G33" s="337">
        <f t="shared" si="35"/>
        <v>0.21775834413333331</v>
      </c>
      <c r="H33" s="337">
        <f t="shared" si="35"/>
        <v>0.25676881180811806</v>
      </c>
      <c r="I33" s="337">
        <f t="shared" si="35"/>
        <v>0.31895508487084867</v>
      </c>
      <c r="J33" s="337">
        <f t="shared" si="35"/>
        <v>1.1958567441860464</v>
      </c>
      <c r="K33" s="337">
        <f t="shared" si="35"/>
        <v>0.12800417</v>
      </c>
      <c r="L33" s="337">
        <f t="shared" si="35"/>
        <v>0.364808217105</v>
      </c>
      <c r="M33" s="337">
        <f t="shared" si="35"/>
        <v>0.7073937837837837</v>
      </c>
      <c r="N33" s="337">
        <f t="shared" si="35"/>
        <v>0.27233323255813957</v>
      </c>
      <c r="O33" s="337">
        <f t="shared" si="35"/>
        <v>9.0619245000000001E-2</v>
      </c>
      <c r="P33" s="337">
        <f t="shared" si="35"/>
        <v>0.78573064516129032</v>
      </c>
      <c r="Q33" s="337">
        <f t="shared" si="35"/>
        <v>1.1546513768115942</v>
      </c>
      <c r="R33" s="337">
        <f t="shared" si="35"/>
        <v>1.9951616632016631</v>
      </c>
      <c r="S33" s="337">
        <f t="shared" si="35"/>
        <v>0.80613836257309934</v>
      </c>
      <c r="T33" s="337">
        <f t="shared" si="35"/>
        <v>0.62207286549707597</v>
      </c>
      <c r="U33" s="337">
        <f t="shared" si="35"/>
        <v>2.3742425704666666E-2</v>
      </c>
      <c r="V33" s="337">
        <f t="shared" si="35"/>
        <v>0.17997399630800001</v>
      </c>
      <c r="W33" s="337">
        <f t="shared" si="35"/>
        <v>7.7278073852571419E-2</v>
      </c>
      <c r="X33" s="337">
        <f t="shared" si="35"/>
        <v>4.69884577528E-2</v>
      </c>
      <c r="Y33" s="337">
        <f t="shared" si="35"/>
        <v>4.3167589803599998E-2</v>
      </c>
      <c r="Z33" s="337">
        <f t="shared" si="35"/>
        <v>0.20710660629039546</v>
      </c>
      <c r="AA33" s="337">
        <f t="shared" si="35"/>
        <v>4.6216744890700004E-2</v>
      </c>
      <c r="AB33" s="337">
        <f t="shared" si="35"/>
        <v>0.29964574060319998</v>
      </c>
      <c r="AC33" s="337">
        <f t="shared" si="35"/>
        <v>1.8544568633999999E-2</v>
      </c>
    </row>
    <row r="34" spans="1:32">
      <c r="B34" s="750">
        <f>-Durchschnitt/B12</f>
        <v>6.4012092257133171E-4</v>
      </c>
      <c r="C34" s="149" t="s">
        <v>909</v>
      </c>
      <c r="D34" s="295" t="s">
        <v>914</v>
      </c>
      <c r="E34" s="350">
        <f>-E$39/E12</f>
        <v>3.7188352615284341E-3</v>
      </c>
      <c r="F34" s="350">
        <f t="shared" ref="F34:AC34" si="36">-F39/F12</f>
        <v>1.2377993076347306E-3</v>
      </c>
      <c r="G34" s="350">
        <f t="shared" si="36"/>
        <v>6.0178243512974054E-4</v>
      </c>
      <c r="H34" s="350">
        <f t="shared" si="36"/>
        <v>7.1127094683689216E-4</v>
      </c>
      <c r="I34" s="350">
        <f t="shared" si="36"/>
        <v>8.8353209105498248E-4</v>
      </c>
      <c r="J34" s="350">
        <f t="shared" si="36"/>
        <v>1.2829800399201596E-3</v>
      </c>
      <c r="K34" s="350">
        <f t="shared" si="36"/>
        <v>2.4567052433594345E-4</v>
      </c>
      <c r="L34" s="350">
        <f t="shared" si="36"/>
        <v>1.0081596556886228E-3</v>
      </c>
      <c r="M34" s="350">
        <f t="shared" si="36"/>
        <v>8.3755423999999992E-4</v>
      </c>
      <c r="N34" s="350">
        <f t="shared" si="36"/>
        <v>6.6152575980115249E-4</v>
      </c>
      <c r="O34" s="350">
        <f t="shared" si="36"/>
        <v>2.2609592065868267E-4</v>
      </c>
      <c r="P34" s="350">
        <f t="shared" si="36"/>
        <v>2.0836313088109498E-3</v>
      </c>
      <c r="Q34" s="350">
        <f t="shared" si="36"/>
        <v>1.1926788173652696E-3</v>
      </c>
      <c r="R34" s="350">
        <f t="shared" si="36"/>
        <v>3.5915896706586827E-3</v>
      </c>
      <c r="S34" s="350">
        <f t="shared" si="36"/>
        <v>3.7520321175830155E-4</v>
      </c>
      <c r="T34" s="350">
        <f t="shared" si="36"/>
        <v>2.8953309744148069E-4</v>
      </c>
      <c r="U34" s="350">
        <f t="shared" si="36"/>
        <v>6.561298403193613E-5</v>
      </c>
      <c r="V34" s="350">
        <f t="shared" si="36"/>
        <v>3.3223924000000003E-4</v>
      </c>
      <c r="W34" s="350">
        <f t="shared" si="36"/>
        <v>3.4577875346260387E-3</v>
      </c>
      <c r="X34" s="350">
        <f t="shared" si="36"/>
        <v>1.2985416766467066E-4</v>
      </c>
      <c r="Y34" s="350">
        <f t="shared" si="36"/>
        <v>1.1929507185628742E-4</v>
      </c>
      <c r="Z34" s="350">
        <f t="shared" si="36"/>
        <v>5.7234600290943533E-4</v>
      </c>
      <c r="AA34" s="350">
        <f t="shared" si="36"/>
        <v>1.2772151347305389E-4</v>
      </c>
      <c r="AB34" s="350">
        <f t="shared" si="36"/>
        <v>8.2808098203592808E-4</v>
      </c>
      <c r="AC34" s="350">
        <f t="shared" si="36"/>
        <v>5.1248532934131736E-5</v>
      </c>
    </row>
    <row r="35" spans="1:32">
      <c r="B35" s="750">
        <f>-Durchschnitt/B23</f>
        <v>3.5040051637785861E-2</v>
      </c>
      <c r="C35" s="149" t="s">
        <v>909</v>
      </c>
      <c r="D35" s="295" t="s">
        <v>1796</v>
      </c>
      <c r="E35" s="350">
        <f t="shared" ref="E35:W35" si="37">-E$39/E23</f>
        <v>0.19046837418525661</v>
      </c>
      <c r="F35" s="350">
        <f t="shared" si="37"/>
        <v>0.13229599</v>
      </c>
      <c r="G35" s="350">
        <f t="shared" si="37"/>
        <v>1.8553415384615385E-2</v>
      </c>
      <c r="H35" s="350">
        <f t="shared" si="37"/>
        <v>3.1629249090909091E-2</v>
      </c>
      <c r="I35" s="350">
        <f t="shared" si="37"/>
        <v>4.7071831833467206E-2</v>
      </c>
      <c r="J35" s="350">
        <f t="shared" si="37"/>
        <v>8.9651466678289674E-2</v>
      </c>
      <c r="K35" s="350">
        <f t="shared" si="37"/>
        <v>1.075665294117647E-2</v>
      </c>
      <c r="L35" s="350">
        <f t="shared" si="37"/>
        <v>8.584456978967496E-2</v>
      </c>
      <c r="M35" s="350">
        <f t="shared" si="37"/>
        <v>2.0528290196078429E-2</v>
      </c>
      <c r="N35" s="350">
        <f t="shared" si="37"/>
        <v>5.3228768181818181E-2</v>
      </c>
      <c r="O35" s="350">
        <f t="shared" si="37"/>
        <v>1.1530633032192391E-2</v>
      </c>
      <c r="P35" s="350">
        <f t="shared" si="37"/>
        <v>0.10318851938148697</v>
      </c>
      <c r="Q35" s="350">
        <f t="shared" si="37"/>
        <v>0.17319770652173913</v>
      </c>
      <c r="R35" s="350">
        <f t="shared" si="37"/>
        <v>0.13709610857142859</v>
      </c>
      <c r="S35" s="350">
        <f t="shared" si="37"/>
        <v>4.5949886666666669E-2</v>
      </c>
      <c r="T35" s="350">
        <f t="shared" si="37"/>
        <v>3.5458153333333332E-2</v>
      </c>
      <c r="U35" s="350">
        <f t="shared" si="37"/>
        <v>3.1837775489196533E-3</v>
      </c>
      <c r="V35" s="350">
        <f t="shared" si="37"/>
        <v>2.4133893308219731E-2</v>
      </c>
      <c r="W35" s="350">
        <f t="shared" si="37"/>
        <v>1.0362723658316531E-2</v>
      </c>
      <c r="X35" s="350" t="e">
        <f>-#REF!/X13</f>
        <v>#REF!</v>
      </c>
      <c r="Y35" s="350" t="e">
        <f>-#REF!/Y13</f>
        <v>#REF!</v>
      </c>
      <c r="Z35" s="350" t="e">
        <f>-#REF!/Z13</f>
        <v>#REF!</v>
      </c>
      <c r="AA35" s="350" t="e">
        <f>-#REF!/AA13</f>
        <v>#REF!</v>
      </c>
      <c r="AB35" s="350" t="e">
        <f>-#REF!/AB13</f>
        <v>#REF!</v>
      </c>
      <c r="AC35" s="350" t="e">
        <f>-#REF!/AC13</f>
        <v>#REF!</v>
      </c>
    </row>
    <row r="36" spans="1:32">
      <c r="B36" s="750">
        <f>-Durchschnitt/B29</f>
        <v>0.47954236075081685</v>
      </c>
      <c r="C36" s="149" t="s">
        <v>909</v>
      </c>
      <c r="D36" s="295" t="s">
        <v>1795</v>
      </c>
      <c r="E36" s="350">
        <f t="shared" ref="E36:W36" si="38">-E$39/E29</f>
        <v>1.6336787401574802</v>
      </c>
      <c r="F36" s="350">
        <f t="shared" si="38"/>
        <v>0.499872129715625</v>
      </c>
      <c r="G36" s="350">
        <f t="shared" si="38"/>
        <v>0.24302345753333332</v>
      </c>
      <c r="H36" s="350">
        <f t="shared" si="38"/>
        <v>1.1997301379310346</v>
      </c>
      <c r="I36" s="350">
        <f t="shared" si="38"/>
        <v>0.43546153639499996</v>
      </c>
      <c r="J36" s="350">
        <f t="shared" si="38"/>
        <v>1.5349802985074625</v>
      </c>
      <c r="K36" s="350">
        <f t="shared" si="38"/>
        <v>0.2699295043018613</v>
      </c>
      <c r="L36" s="350">
        <f t="shared" si="38"/>
        <v>0.40713459045750006</v>
      </c>
      <c r="M36" s="350">
        <f t="shared" si="38"/>
        <v>0.73858398589065255</v>
      </c>
      <c r="N36" s="350">
        <f t="shared" si="38"/>
        <v>0.57263222493887533</v>
      </c>
      <c r="O36" s="350">
        <f t="shared" si="38"/>
        <v>8.1426773026145843E-2</v>
      </c>
      <c r="P36" s="350">
        <f t="shared" si="38"/>
        <v>0.9721575318546013</v>
      </c>
      <c r="Q36" s="350">
        <f t="shared" si="38"/>
        <v>1.3060810655737707</v>
      </c>
      <c r="R36" s="350">
        <f t="shared" si="38"/>
        <v>1.450425417645</v>
      </c>
      <c r="S36" s="350">
        <f t="shared" si="38"/>
        <v>0.15152183991454546</v>
      </c>
      <c r="T36" s="350">
        <f t="shared" si="38"/>
        <v>0.11692487235090911</v>
      </c>
      <c r="U36" s="350">
        <f t="shared" si="38"/>
        <v>2.6497108103666671E-2</v>
      </c>
      <c r="V36" s="350">
        <f t="shared" si="38"/>
        <v>0.10222745846153847</v>
      </c>
      <c r="W36" s="350">
        <f t="shared" si="38"/>
        <v>1.1322097959183673E-2</v>
      </c>
      <c r="X36" s="350" t="e">
        <f>-#REF!/X14</f>
        <v>#REF!</v>
      </c>
      <c r="Y36" s="350" t="e">
        <f>-#REF!/Y14</f>
        <v>#REF!</v>
      </c>
      <c r="Z36" s="350" t="e">
        <f>-#REF!/Z14</f>
        <v>#REF!</v>
      </c>
      <c r="AA36" s="350" t="e">
        <f>-#REF!/AA14</f>
        <v>#REF!</v>
      </c>
      <c r="AB36" s="350" t="e">
        <f>-#REF!/AB14</f>
        <v>#REF!</v>
      </c>
      <c r="AC36" s="350" t="e">
        <f>-#REF!/AC14</f>
        <v>#REF!</v>
      </c>
    </row>
    <row r="37" spans="1:32">
      <c r="B37" s="337"/>
      <c r="C37" s="383">
        <v>43910</v>
      </c>
      <c r="D37" s="295"/>
      <c r="E37" s="350"/>
      <c r="F37" s="350"/>
      <c r="G37" s="350"/>
      <c r="H37" s="350"/>
      <c r="I37" s="350"/>
      <c r="J37" s="350"/>
      <c r="K37" s="350"/>
      <c r="L37" s="350"/>
      <c r="M37" s="350"/>
      <c r="N37" s="350"/>
      <c r="O37" s="350"/>
      <c r="P37" s="350"/>
      <c r="Q37" s="350"/>
      <c r="R37" s="350"/>
      <c r="S37" s="350"/>
      <c r="T37" s="350"/>
      <c r="U37" s="350"/>
      <c r="V37" s="350"/>
      <c r="W37" s="350"/>
      <c r="X37" s="350"/>
      <c r="Y37" s="350"/>
      <c r="Z37" s="350"/>
      <c r="AA37" s="350"/>
      <c r="AB37" s="350"/>
      <c r="AC37" s="350"/>
    </row>
    <row r="38" spans="1:32" s="3" customFormat="1" ht="89.25">
      <c r="B38" s="3" t="s">
        <v>893</v>
      </c>
      <c r="C38" s="3" t="s">
        <v>537</v>
      </c>
      <c r="D38" s="3" t="s">
        <v>533</v>
      </c>
      <c r="E38" s="3" t="s">
        <v>1943</v>
      </c>
      <c r="F38" s="3" t="s">
        <v>1037</v>
      </c>
      <c r="G38" s="3" t="s">
        <v>748</v>
      </c>
      <c r="H38" s="3" t="s">
        <v>1039</v>
      </c>
      <c r="I38" s="3" t="s">
        <v>1040</v>
      </c>
      <c r="J38" s="3" t="s">
        <v>1807</v>
      </c>
      <c r="K38" s="3" t="s">
        <v>1808</v>
      </c>
      <c r="L38" s="3" t="s">
        <v>749</v>
      </c>
      <c r="M38" s="3" t="s">
        <v>1041</v>
      </c>
      <c r="N38" s="3" t="s">
        <v>1042</v>
      </c>
      <c r="O38" s="3" t="s">
        <v>750</v>
      </c>
      <c r="P38" s="3" t="s">
        <v>1944</v>
      </c>
      <c r="Q38" s="3" t="s">
        <v>1043</v>
      </c>
      <c r="R38" s="3" t="s">
        <v>720</v>
      </c>
      <c r="S38" s="3" t="s">
        <v>1044</v>
      </c>
      <c r="T38" s="3" t="s">
        <v>1045</v>
      </c>
      <c r="U38" s="3" t="s">
        <v>752</v>
      </c>
      <c r="V38" s="3" t="s">
        <v>753</v>
      </c>
      <c r="W38" s="3" t="s">
        <v>942</v>
      </c>
      <c r="X38" s="558" t="s">
        <v>1760</v>
      </c>
      <c r="Y38" s="558" t="s">
        <v>1761</v>
      </c>
      <c r="Z38" s="558" t="s">
        <v>1762</v>
      </c>
      <c r="AA38" s="558" t="s">
        <v>1763</v>
      </c>
      <c r="AB38" s="558" t="s">
        <v>1764</v>
      </c>
      <c r="AC38" s="558" t="s">
        <v>1765</v>
      </c>
      <c r="AD38" s="558" t="s">
        <v>1766</v>
      </c>
      <c r="AE38" s="558" t="s">
        <v>1767</v>
      </c>
      <c r="AF38" s="3" t="s">
        <v>1809</v>
      </c>
    </row>
    <row r="39" spans="1:32" s="1" customFormat="1">
      <c r="A39" s="170">
        <f>ROW()</f>
        <v>39</v>
      </c>
      <c r="B39" s="352">
        <f>AVERAGE(E39:G39,H39:V39,W39,X39:AE39)</f>
        <v>0.32604712362962968</v>
      </c>
      <c r="C39" s="1" t="s">
        <v>0</v>
      </c>
      <c r="D39" s="1" t="s">
        <v>2</v>
      </c>
      <c r="E39" s="134" cm="1">
        <f t="array" ref="E39">INDEX(SimaPro!$1:$1048576,SimaProEI99,MATCH(InputsBG!E$2,SimaPro!$1:$1,0))</f>
        <v>1.1411245999999999</v>
      </c>
      <c r="F39" s="134" cm="1">
        <f t="array" ref="F39">INDEX(SimaPro!$1:$1048576,SimaProEI99,MATCH(InputsBG!F$2,SimaPro!$1:$1,0))</f>
        <v>6.6147995000000001E-2</v>
      </c>
      <c r="G39" s="134" cm="1">
        <f t="array" ref="G39">INDEX(SimaPro!$1:$1048576,SimaProEI99,MATCH(InputsBG!G$2,SimaPro!$1:$1,0))</f>
        <v>2.4119439999999999E-2</v>
      </c>
      <c r="H39" s="134" cm="1">
        <f t="array" ref="H39">INDEX(SimaPro!$1:$1048576,SimaProEI99,MATCH(InputsBG!H$2,SimaPro!$1:$1,0))</f>
        <v>3.4792174000000002E-2</v>
      </c>
      <c r="I39" s="134" cm="1">
        <f t="array" ref="I39">INDEX(SimaPro!$1:$1048576,SimaProEI99,MATCH(InputsBG!I$2,SimaPro!$1:$1,0))</f>
        <v>4.3218413999999997E-2</v>
      </c>
      <c r="J39" s="134" cm="1">
        <f t="array" ref="J39">INDEX(SimaPro!$1:$1048576,SimaProEI99,MATCH(InputsBG!J$2,SimaPro!$1:$1,0))</f>
        <v>0.12855459999999999</v>
      </c>
      <c r="K39" s="134" cm="1">
        <f t="array" ref="K39">INDEX(SimaPro!$1:$1048576,SimaProEI99,MATCH(InputsBG!K$2,SimaPro!$1:$1,0))</f>
        <v>3.8401250999999997E-2</v>
      </c>
      <c r="L39" s="134" cm="1">
        <f t="array" ref="L39">INDEX(SimaPro!$1:$1048576,SimaProEI99,MATCH(InputsBG!L$2,SimaPro!$1:$1,0))</f>
        <v>2.6938026000000002</v>
      </c>
      <c r="M39" s="134" cm="1">
        <f t="array" ref="M39">INDEX(SimaPro!$1:$1048576,SimaProEI99,MATCH(InputsBG!M$2,SimaPro!$1:$1,0))</f>
        <v>2.0938855999999999E-2</v>
      </c>
      <c r="N39" s="134" cm="1">
        <f t="array" ref="N39">INDEX(SimaPro!$1:$1048576,SimaProEI99,MATCH(InputsBG!N$2,SimaPro!$1:$1,0))</f>
        <v>1.1710329E-2</v>
      </c>
      <c r="O39" s="134" cm="1">
        <f t="array" ref="O39">INDEX(SimaPro!$1:$1048576,SimaProEI99,MATCH(InputsBG!O$2,SimaPro!$1:$1,0))</f>
        <v>1.8123849000000001E-2</v>
      </c>
      <c r="P39" s="134" cm="1">
        <f t="array" ref="P39">INDEX(SimaPro!$1:$1048576,SimaProEI99,MATCH(InputsBG!P$2,SimaPro!$1:$1,0))</f>
        <v>0.2435765</v>
      </c>
      <c r="Q39" s="134" cm="1">
        <f t="array" ref="Q39">INDEX(SimaPro!$1:$1048576,SimaProEI99,MATCH(InputsBG!Q$2,SimaPro!$1:$1,0))</f>
        <v>0.15934189000000001</v>
      </c>
      <c r="R39" s="134" cm="1">
        <f t="array" ref="R39">INDEX(SimaPro!$1:$1048576,SimaProEI99,MATCH(InputsBG!R$2,SimaPro!$1:$1,0))</f>
        <v>4.7983638000000002E-2</v>
      </c>
      <c r="S39" s="134" cm="1">
        <f t="array" ref="S39">INDEX(SimaPro!$1:$1048576,SimaProEI99,MATCH(InputsBG!S$2,SimaPro!$1:$1,0))</f>
        <v>1.3784965999999999E-2</v>
      </c>
      <c r="T39" s="134" cm="1">
        <f t="array" ref="T39">INDEX(SimaPro!$1:$1048576,SimaProEI99,MATCH(InputsBG!T$2,SimaPro!$1:$1,0))</f>
        <v>1.0637446E-2</v>
      </c>
      <c r="U39" s="134" cm="1">
        <f t="array" ref="U39">INDEX(SimaPro!$1:$1048576,SimaProEI99,MATCH(InputsBG!U$2,SimaPro!$1:$1,0))</f>
        <v>1.3148842000000001E-2</v>
      </c>
      <c r="V39" s="134" cm="1">
        <f t="array" ref="V39">INDEX(SimaPro!$1:$1048576,SimaProEI99,MATCH(InputsBG!V$2,SimaPro!$1:$1,0))</f>
        <v>3.3223924000000001E-3</v>
      </c>
      <c r="W39" s="134" cm="1">
        <f t="array" ref="W39">INDEX(SimaPro!$1:$1048576,SimaProEI99,MATCH(InputsBG!W$2,SimaPro!$1:$1,0))</f>
        <v>2.4965225999999999E-3</v>
      </c>
      <c r="X39" s="134" cm="1">
        <f t="array" ref="X39">INDEX(SimaPro!$1:$1048576,SimaProEI99,MATCH(InputsBG!X$2,SimaPro!$1:$1,0))</f>
        <v>4.3371291999999999E-2</v>
      </c>
      <c r="Y39" s="134" cm="1">
        <f t="array" ref="Y39">INDEX(SimaPro!$1:$1048576,SimaProEI99,MATCH(InputsBG!Y$2,SimaPro!$1:$1,0))</f>
        <v>0.19922276999999999</v>
      </c>
      <c r="Z39" s="134" cm="1">
        <f t="array" ref="Z39">INDEX(SimaPro!$1:$1048576,SimaProEI99,MATCH(InputsBG!Z$2,SimaPro!$1:$1,0))</f>
        <v>3.3835951</v>
      </c>
      <c r="AA39" s="134" cm="1">
        <f t="array" ref="AA39">INDEX(SimaPro!$1:$1048576,SimaProEI99,MATCH(InputsBG!AA$2,SimaPro!$1:$1,0))</f>
        <v>8.5317971000000006E-2</v>
      </c>
      <c r="AB39" s="134" cm="1">
        <f t="array" ref="AB39">INDEX(SimaPro!$1:$1048576,SimaProEI99,MATCH(InputsBG!AB$2,SimaPro!$1:$1,0))</f>
        <v>6.9144761999999999E-2</v>
      </c>
      <c r="AC39" s="134" cm="1">
        <f t="array" ref="AC39">INDEX(SimaPro!$1:$1048576,SimaProEI99,MATCH(InputsBG!AC$2,SimaPro!$1:$1,0))</f>
        <v>5.1351029999999999E-2</v>
      </c>
      <c r="AD39" s="134" cm="1">
        <f t="array" ref="AD39">INDEX(SimaPro!$1:$1048576,SimaProEI99,MATCH(InputsBG!AD$2,SimaPro!$1:$1,0))</f>
        <v>0.16934110999999999</v>
      </c>
      <c r="AE39" s="134" cm="1">
        <f t="array" ref="AE39">INDEX(SimaPro!$1:$1048576,SimaProEI99,MATCH(InputsBG!AE$2,SimaPro!$1:$1,0))</f>
        <v>8.6701998000000002E-2</v>
      </c>
      <c r="AF39" s="134" cm="1">
        <f t="array" ref="AF39">INDEX(SimaPro!$1:$1048576,SimaProEI99,MATCH(InputsBG!AF$2,SimaPro!$1:$1,0))</f>
        <v>1.0494498999999999</v>
      </c>
    </row>
    <row r="40" spans="1:32">
      <c r="E40" s="135"/>
      <c r="F40" s="135"/>
      <c r="G40" s="135"/>
      <c r="H40" s="135"/>
      <c r="I40" s="135"/>
      <c r="J40" s="135"/>
      <c r="K40" s="135"/>
      <c r="L40" s="135"/>
      <c r="M40" s="135"/>
      <c r="N40" s="135"/>
      <c r="O40" s="135"/>
      <c r="P40" s="135"/>
      <c r="Q40" s="135"/>
      <c r="R40" s="135"/>
      <c r="S40" s="135"/>
      <c r="T40" s="135"/>
      <c r="U40" s="135"/>
    </row>
    <row r="41" spans="1:32" s="1" customFormat="1">
      <c r="A41" s="170">
        <f>ROW()</f>
        <v>41</v>
      </c>
      <c r="B41" s="352">
        <f>AVERAGE(E41:G41,H41:V41,W41,X41:AE41)</f>
        <v>0.30088785312592592</v>
      </c>
      <c r="C41" s="1" t="s">
        <v>1962</v>
      </c>
      <c r="D41" s="1" t="s">
        <v>2</v>
      </c>
      <c r="E41" s="134">
        <v>0.54569838000000004</v>
      </c>
      <c r="F41" s="134">
        <v>6.6199688000000007E-2</v>
      </c>
      <c r="G41" s="134">
        <v>2.4963049000000001E-2</v>
      </c>
      <c r="H41" s="134">
        <v>3.4827186000000003E-2</v>
      </c>
      <c r="I41" s="134">
        <v>4.3246557999999997E-2</v>
      </c>
      <c r="J41" s="134">
        <v>0.12868773</v>
      </c>
      <c r="K41" s="134">
        <v>3.8472209E-2</v>
      </c>
      <c r="L41" s="134">
        <v>2.6954025000000001</v>
      </c>
      <c r="M41" s="134">
        <v>2.0974524000000001E-2</v>
      </c>
      <c r="N41" s="134">
        <v>1.1735531E-2</v>
      </c>
      <c r="O41" s="134">
        <v>1.8248211E-2</v>
      </c>
      <c r="P41" s="134">
        <v>0.11678217</v>
      </c>
      <c r="Q41" s="134">
        <v>0.15954834000000001</v>
      </c>
      <c r="R41" s="134">
        <v>4.8008154999999997E-2</v>
      </c>
      <c r="S41" s="134">
        <v>1.3796879999999999E-2</v>
      </c>
      <c r="T41" s="134">
        <v>1.064819E-2</v>
      </c>
      <c r="U41" s="134">
        <v>1.3518598E-2</v>
      </c>
      <c r="V41" s="1">
        <v>3.3494491E-3</v>
      </c>
      <c r="W41" s="1">
        <v>2.5083023000000001E-3</v>
      </c>
      <c r="X41" s="1">
        <v>4.3570877000000001E-2</v>
      </c>
      <c r="Y41" s="1">
        <v>0.20145360000000001</v>
      </c>
      <c r="Z41" s="1">
        <v>3.3930115999999999</v>
      </c>
      <c r="AA41" s="1">
        <v>0.10816668</v>
      </c>
      <c r="AB41" s="1">
        <v>7.0891509000000005E-2</v>
      </c>
      <c r="AC41" s="1">
        <v>5.3103333000000003E-2</v>
      </c>
      <c r="AD41" s="1">
        <v>0.17007317</v>
      </c>
      <c r="AE41" s="1">
        <v>8.7085615000000005E-2</v>
      </c>
      <c r="AF41" s="1">
        <v>0.82652638</v>
      </c>
    </row>
    <row r="42" spans="1:32" s="278" customFormat="1">
      <c r="B42" s="352"/>
      <c r="C42" s="1"/>
      <c r="D42" s="1"/>
      <c r="E42" s="276">
        <f t="shared" ref="E42:AF42" si="39">E39/E41</f>
        <v>2.091126970177188</v>
      </c>
      <c r="F42" s="276">
        <f t="shared" si="39"/>
        <v>0.99921913529260131</v>
      </c>
      <c r="G42" s="276">
        <f t="shared" si="39"/>
        <v>0.96620569065902162</v>
      </c>
      <c r="H42" s="276">
        <f t="shared" si="39"/>
        <v>0.99899469339842728</v>
      </c>
      <c r="I42" s="276">
        <f t="shared" si="39"/>
        <v>0.99934921988473624</v>
      </c>
      <c r="J42" s="276">
        <f t="shared" si="39"/>
        <v>0.99896548023653842</v>
      </c>
      <c r="K42" s="276">
        <f t="shared" si="39"/>
        <v>0.99815560369824352</v>
      </c>
      <c r="L42" s="276">
        <f t="shared" si="39"/>
        <v>0.99940643373299531</v>
      </c>
      <c r="M42" s="276">
        <f t="shared" si="39"/>
        <v>0.99829946081255516</v>
      </c>
      <c r="N42" s="276">
        <f t="shared" si="39"/>
        <v>0.99785250450107454</v>
      </c>
      <c r="O42" s="276">
        <f t="shared" si="39"/>
        <v>0.99318497577652953</v>
      </c>
      <c r="P42" s="276">
        <f t="shared" si="39"/>
        <v>2.0857336355370002</v>
      </c>
      <c r="Q42" s="276">
        <f t="shared" si="39"/>
        <v>0.99870603479798037</v>
      </c>
      <c r="R42" s="276">
        <f t="shared" si="39"/>
        <v>0.99948931592976242</v>
      </c>
      <c r="S42" s="276">
        <f t="shared" si="39"/>
        <v>0.99913647143412132</v>
      </c>
      <c r="T42" s="276">
        <f t="shared" si="39"/>
        <v>0.99899100222666948</v>
      </c>
      <c r="U42" s="276">
        <f t="shared" si="39"/>
        <v>0.97264834711410175</v>
      </c>
      <c r="V42" s="276">
        <f t="shared" si="39"/>
        <v>0.99192204473266965</v>
      </c>
      <c r="W42" s="276">
        <f t="shared" si="39"/>
        <v>0.99530371598351597</v>
      </c>
      <c r="X42" s="276">
        <f t="shared" si="39"/>
        <v>0.995419302668615</v>
      </c>
      <c r="Y42" s="276">
        <f t="shared" si="39"/>
        <v>0.98892633340878489</v>
      </c>
      <c r="Z42" s="276">
        <f t="shared" si="39"/>
        <v>0.99722473686797886</v>
      </c>
      <c r="AA42" s="276">
        <f t="shared" si="39"/>
        <v>0.78876388736346537</v>
      </c>
      <c r="AB42" s="276">
        <f t="shared" si="39"/>
        <v>0.97536027904272704</v>
      </c>
      <c r="AC42" s="276">
        <f t="shared" si="39"/>
        <v>0.96700201473229552</v>
      </c>
      <c r="AD42" s="276">
        <f t="shared" si="39"/>
        <v>0.9956956173628092</v>
      </c>
      <c r="AE42" s="276">
        <f t="shared" si="39"/>
        <v>0.9955949441248132</v>
      </c>
      <c r="AF42" s="276">
        <f t="shared" si="39"/>
        <v>1.269711318832921</v>
      </c>
    </row>
    <row r="43" spans="1:32" s="3" customFormat="1">
      <c r="X43" s="558"/>
      <c r="Y43" s="558"/>
      <c r="Z43" s="558"/>
      <c r="AA43" s="558"/>
      <c r="AB43" s="558"/>
      <c r="AC43" s="558"/>
      <c r="AD43" s="558"/>
      <c r="AE43" s="558"/>
    </row>
    <row r="44" spans="1:32">
      <c r="C44" t="s">
        <v>537</v>
      </c>
      <c r="D44" t="s">
        <v>533</v>
      </c>
      <c r="E44" t="s">
        <v>747</v>
      </c>
      <c r="F44" t="s">
        <v>1037</v>
      </c>
      <c r="G44" t="s">
        <v>748</v>
      </c>
      <c r="H44" t="s">
        <v>1039</v>
      </c>
      <c r="I44" t="s">
        <v>1040</v>
      </c>
      <c r="J44" t="s">
        <v>1807</v>
      </c>
      <c r="K44" t="s">
        <v>1808</v>
      </c>
      <c r="L44" t="s">
        <v>749</v>
      </c>
      <c r="M44" t="s">
        <v>1041</v>
      </c>
      <c r="N44" t="s">
        <v>1042</v>
      </c>
      <c r="O44" t="s">
        <v>750</v>
      </c>
      <c r="P44" t="s">
        <v>751</v>
      </c>
      <c r="Q44" t="s">
        <v>1043</v>
      </c>
      <c r="R44" t="s">
        <v>720</v>
      </c>
      <c r="S44" t="s">
        <v>1044</v>
      </c>
      <c r="T44" t="s">
        <v>1045</v>
      </c>
      <c r="U44" t="s">
        <v>752</v>
      </c>
      <c r="V44" t="s">
        <v>753</v>
      </c>
      <c r="W44" t="s">
        <v>942</v>
      </c>
      <c r="X44" t="s">
        <v>1760</v>
      </c>
      <c r="Y44" t="s">
        <v>1761</v>
      </c>
      <c r="Z44" t="s">
        <v>1762</v>
      </c>
      <c r="AA44" t="s">
        <v>1763</v>
      </c>
      <c r="AB44" t="s">
        <v>1764</v>
      </c>
      <c r="AC44" t="s">
        <v>1765</v>
      </c>
      <c r="AD44" t="s">
        <v>1766</v>
      </c>
      <c r="AE44" t="s">
        <v>1767</v>
      </c>
      <c r="AF44" t="s">
        <v>1809</v>
      </c>
    </row>
    <row r="45" spans="1:32" s="169" customFormat="1">
      <c r="A45" s="170">
        <f>ROW()</f>
        <v>45</v>
      </c>
      <c r="B45" s="352">
        <f>AVERAGE(E45:W45,X45:AE45)</f>
        <v>0.95127196907407408</v>
      </c>
      <c r="C45" s="169" t="s">
        <v>40</v>
      </c>
      <c r="D45" s="169" t="s">
        <v>41</v>
      </c>
      <c r="E45" s="134" cm="1">
        <f t="array" ref="E45">INDEX(SimaPro!$1:$1048576,SimaProGWP,MATCH(InputsBG!E$2,SimaPro!$1:$1,0))</f>
        <v>2.6307475</v>
      </c>
      <c r="F45" s="134" cm="1">
        <f t="array" ref="F45">INDEX(SimaPro!$1:$1048576,SimaProGWP,MATCH(InputsBG!F$2,SimaPro!$1:$1,0))</f>
        <v>9.7867872999999994E-2</v>
      </c>
      <c r="G45" s="134" cm="1">
        <f t="array" ref="G45">INDEX(SimaPro!$1:$1048576,SimaProGWP,MATCH(InputsBG!G$2,SimaPro!$1:$1,0))</f>
        <v>0.3107837</v>
      </c>
      <c r="H45" s="134" cm="1">
        <f t="array" ref="H45">INDEX(SimaPro!$1:$1048576,SimaProGWP,MATCH(InputsBG!H$2,SimaPro!$1:$1,0))</f>
        <v>8.7099865999999998E-2</v>
      </c>
      <c r="I45" s="134" cm="1">
        <f t="array" ref="I45">INDEX(SimaPro!$1:$1048576,SimaProGWP,MATCH(InputsBG!I$2,SimaPro!$1:$1,0))</f>
        <v>7.5660719000000001E-2</v>
      </c>
      <c r="J45" s="134" cm="1">
        <f t="array" ref="J45">INDEX(SimaPro!$1:$1048576,SimaProGWP,MATCH(InputsBG!J$2,SimaPro!$1:$1,0))</f>
        <v>0.22039791</v>
      </c>
      <c r="K45" s="134" cm="1">
        <f t="array" ref="K45">INDEX(SimaPro!$1:$1048576,SimaProGWP,MATCH(InputsBG!K$2,SimaPro!$1:$1,0))</f>
        <v>0.10490057</v>
      </c>
      <c r="L45" s="134" cm="1">
        <f t="array" ref="L45">INDEX(SimaPro!$1:$1048576,SimaProGWP,MATCH(InputsBG!L$2,SimaPro!$1:$1,0))</f>
        <v>3.1691595000000001</v>
      </c>
      <c r="M45" s="134" cm="1">
        <f t="array" ref="M45">INDEX(SimaPro!$1:$1048576,SimaProGWP,MATCH(InputsBG!M$2,SimaPro!$1:$1,0))</f>
        <v>5.6959546999999999E-2</v>
      </c>
      <c r="N45" s="134" cm="1">
        <f t="array" ref="N45">INDEX(SimaPro!$1:$1048576,SimaProGWP,MATCH(InputsBG!N$2,SimaPro!$1:$1,0))</f>
        <v>5.5972186E-2</v>
      </c>
      <c r="O45" s="134" cm="1">
        <f t="array" ref="O45">INDEX(SimaPro!$1:$1048576,SimaProGWP,MATCH(InputsBG!O$2,SimaPro!$1:$1,0))</f>
        <v>0.11457455</v>
      </c>
      <c r="P45" s="134" cm="1">
        <f t="array" ref="P45">INDEX(SimaPro!$1:$1048576,SimaProGWP,MATCH(InputsBG!P$2,SimaPro!$1:$1,0))</f>
        <v>0.56102805</v>
      </c>
      <c r="Q45" s="134" cm="1">
        <f t="array" ref="Q45">INDEX(SimaPro!$1:$1048576,SimaProGWP,MATCH(InputsBG!Q$2,SimaPro!$1:$1,0))</f>
        <v>0.38890174999999999</v>
      </c>
      <c r="R45" s="134" cm="1">
        <f t="array" ref="R45">INDEX(SimaPro!$1:$1048576,SimaProGWP,MATCH(InputsBG!R$2,SimaPro!$1:$1,0))</f>
        <v>3.7781716999999999E-2</v>
      </c>
      <c r="S45" s="134" cm="1">
        <f t="array" ref="S45">INDEX(SimaPro!$1:$1048576,SimaProGWP,MATCH(InputsBG!S$2,SimaPro!$1:$1,0))</f>
        <v>2.6730118000000001E-2</v>
      </c>
      <c r="T45" s="134" cm="1">
        <f t="array" ref="T45">INDEX(SimaPro!$1:$1048576,SimaProGWP,MATCH(InputsBG!T$2,SimaPro!$1:$1,0))</f>
        <v>2.3989527E-2</v>
      </c>
      <c r="U45" s="134" cm="1">
        <f t="array" ref="U45">INDEX(SimaPro!$1:$1048576,SimaProGWP,MATCH(InputsBG!U$2,SimaPro!$1:$1,0))</f>
        <v>0.13233481999999999</v>
      </c>
      <c r="V45" s="134" cm="1">
        <f t="array" ref="V45">INDEX(SimaPro!$1:$1048576,SimaProGWP,MATCH(InputsBG!V$2,SimaPro!$1:$1,0))</f>
        <v>2.1613257E-2</v>
      </c>
      <c r="W45" s="134" cm="1">
        <f t="array" ref="W45">INDEX(SimaPro!$1:$1048576,SimaProGWP,MATCH(InputsBG!W$2,SimaPro!$1:$1,0))</f>
        <v>1.4752965E-2</v>
      </c>
      <c r="X45" s="134" cm="1">
        <f t="array" ref="X45">INDEX(SimaPro!$1:$1048576,SimaProGWP,MATCH(InputsBG!X$2,SimaPro!$1:$1,0))</f>
        <v>0.14767585</v>
      </c>
      <c r="Y45" s="134" cm="1">
        <f t="array" ref="Y45">INDEX(SimaPro!$1:$1048576,SimaProGWP,MATCH(InputsBG!Y$2,SimaPro!$1:$1,0))</f>
        <v>1.0290319000000001</v>
      </c>
      <c r="Z45" s="134" cm="1">
        <f t="array" ref="Z45">INDEX(SimaPro!$1:$1048576,SimaProGWP,MATCH(InputsBG!Z$2,SimaPro!$1:$1,0))</f>
        <v>13.539123999999999</v>
      </c>
      <c r="AA45" s="134" cm="1">
        <f t="array" ref="AA45">INDEX(SimaPro!$1:$1048576,SimaProGWP,MATCH(InputsBG!AA$2,SimaPro!$1:$1,0))</f>
        <v>0.51963713</v>
      </c>
      <c r="AB45" s="134" cm="1">
        <f t="array" ref="AB45">INDEX(SimaPro!$1:$1048576,SimaProGWP,MATCH(InputsBG!AB$2,SimaPro!$1:$1,0))</f>
        <v>0.31007410000000002</v>
      </c>
      <c r="AC45" s="134" cm="1">
        <f t="array" ref="AC45">INDEX(SimaPro!$1:$1048576,SimaProGWP,MATCH(InputsBG!AC$2,SimaPro!$1:$1,0))</f>
        <v>0.55494337000000005</v>
      </c>
      <c r="AD45" s="134" cm="1">
        <f t="array" ref="AD45">INDEX(SimaPro!$1:$1048576,SimaProGWP,MATCH(InputsBG!AD$2,SimaPro!$1:$1,0))</f>
        <v>0.95460244999999999</v>
      </c>
      <c r="AE45" s="134" cm="1">
        <f t="array" ref="AE45">INDEX(SimaPro!$1:$1048576,SimaProGWP,MATCH(InputsBG!AE$2,SimaPro!$1:$1,0))</f>
        <v>0.49799823999999998</v>
      </c>
      <c r="AF45" s="134" cm="1">
        <f t="array" ref="AF45">INDEX(SimaPro!$1:$1048576,SimaProGWP,MATCH(InputsBG!AF$2,SimaPro!$1:$1,0))</f>
        <v>10.409007000000001</v>
      </c>
    </row>
    <row r="46" spans="1:32" s="132" customFormat="1">
      <c r="B46" s="392"/>
      <c r="E46" s="742">
        <f>E45/E47</f>
        <v>1.1160125113998194</v>
      </c>
      <c r="F46" s="742">
        <f t="shared" ref="F46:AE46" si="40">F45/F47</f>
        <v>0.99752437953848028</v>
      </c>
      <c r="G46" s="742">
        <f t="shared" si="40"/>
        <v>0.9898962854072908</v>
      </c>
      <c r="H46" s="742">
        <f t="shared" si="40"/>
        <v>0.99813370483369279</v>
      </c>
      <c r="I46" s="742">
        <f t="shared" si="40"/>
        <v>0.99822125417933572</v>
      </c>
      <c r="J46" s="742">
        <f t="shared" si="40"/>
        <v>0.9976309661070224</v>
      </c>
      <c r="K46" s="742">
        <f t="shared" si="40"/>
        <v>0.99714849399551608</v>
      </c>
      <c r="L46" s="742">
        <f t="shared" si="40"/>
        <v>0.99754121142434105</v>
      </c>
      <c r="M46" s="742">
        <f t="shared" si="40"/>
        <v>0.99706144609823877</v>
      </c>
      <c r="N46" s="742">
        <f t="shared" si="40"/>
        <v>0.99780946858354591</v>
      </c>
      <c r="O46" s="742">
        <f t="shared" si="40"/>
        <v>0.99554200491260514</v>
      </c>
      <c r="P46" s="742">
        <f t="shared" si="40"/>
        <v>1.1126475964304876</v>
      </c>
      <c r="Q46" s="742">
        <f t="shared" si="40"/>
        <v>0.99747828160478014</v>
      </c>
      <c r="R46" s="742">
        <f t="shared" si="40"/>
        <v>0.99678807686686122</v>
      </c>
      <c r="S46" s="742">
        <f t="shared" si="40"/>
        <v>0.99793160640780521</v>
      </c>
      <c r="T46" s="742">
        <f t="shared" si="40"/>
        <v>0.99792972298064486</v>
      </c>
      <c r="U46" s="742">
        <f t="shared" si="40"/>
        <v>0.98739002694052236</v>
      </c>
      <c r="V46" s="742">
        <f t="shared" si="40"/>
        <v>0.99420147269603232</v>
      </c>
      <c r="W46" s="742">
        <f t="shared" si="40"/>
        <v>0.99660560177037238</v>
      </c>
      <c r="X46" s="742">
        <f t="shared" si="40"/>
        <v>1.0099078795612713</v>
      </c>
      <c r="Y46" s="742">
        <f t="shared" si="40"/>
        <v>1.0115342788903272</v>
      </c>
      <c r="Z46" s="742">
        <f t="shared" si="40"/>
        <v>1.0219073678401096</v>
      </c>
      <c r="AA46" s="742">
        <f t="shared" si="40"/>
        <v>0.75926017165710125</v>
      </c>
      <c r="AB46" s="742">
        <f t="shared" si="40"/>
        <v>0.97351375579008081</v>
      </c>
      <c r="AC46" s="742">
        <f t="shared" si="40"/>
        <v>0.97132627045813136</v>
      </c>
      <c r="AD46" s="742">
        <f t="shared" si="40"/>
        <v>1.0166962048498074</v>
      </c>
      <c r="AE46" s="742">
        <f t="shared" si="40"/>
        <v>1.0178466136113267</v>
      </c>
    </row>
    <row r="47" spans="1:32" s="169" customFormat="1">
      <c r="A47" s="170"/>
      <c r="B47" s="352">
        <f>AVERAGE(E47:W47,X47:AE47)</f>
        <v>0.93451996581481478</v>
      </c>
      <c r="C47" s="169" t="s">
        <v>1785</v>
      </c>
      <c r="D47" s="169" t="s">
        <v>41</v>
      </c>
      <c r="E47" s="169">
        <v>2.3572742</v>
      </c>
      <c r="F47" s="169">
        <v>9.8110758000000006E-2</v>
      </c>
      <c r="G47" s="169">
        <v>0.31395582</v>
      </c>
      <c r="H47" s="169">
        <v>8.7262724E-2</v>
      </c>
      <c r="I47" s="169">
        <v>7.5795539999999995E-2</v>
      </c>
      <c r="J47" s="169">
        <v>0.22092128</v>
      </c>
      <c r="K47" s="169">
        <v>0.10520055</v>
      </c>
      <c r="L47" s="169">
        <v>3.176971</v>
      </c>
      <c r="M47" s="169">
        <v>5.7127418999999999E-2</v>
      </c>
      <c r="N47" s="169">
        <v>5.6095064E-2</v>
      </c>
      <c r="O47" s="169">
        <v>0.11508761000000001</v>
      </c>
      <c r="P47" s="169">
        <v>0.50422798000000002</v>
      </c>
      <c r="Q47" s="169">
        <v>0.38988493000000002</v>
      </c>
      <c r="R47" s="169">
        <v>3.790346E-2</v>
      </c>
      <c r="S47" s="169">
        <v>2.6785521E-2</v>
      </c>
      <c r="T47" s="169">
        <v>2.4039294999999999E-2</v>
      </c>
      <c r="U47" s="169">
        <v>0.13402486999999999</v>
      </c>
      <c r="V47" s="169">
        <v>2.1739313E-2</v>
      </c>
      <c r="W47" s="169">
        <v>1.4803213000000001E-2</v>
      </c>
      <c r="X47" s="169">
        <v>0.14622705</v>
      </c>
      <c r="Y47" s="169">
        <v>1.0172981000000001</v>
      </c>
      <c r="Z47" s="169">
        <v>13.248875999999999</v>
      </c>
      <c r="AA47" s="169">
        <v>0.68439930000000004</v>
      </c>
      <c r="AB47" s="169">
        <v>0.31851024</v>
      </c>
      <c r="AC47" s="169">
        <v>0.57132539999999998</v>
      </c>
      <c r="AD47" s="169">
        <v>0.93892595000000001</v>
      </c>
      <c r="AE47" s="169">
        <v>0.48926649</v>
      </c>
      <c r="AF47" s="169">
        <v>8.1979320999999992</v>
      </c>
    </row>
    <row r="49" spans="1:32">
      <c r="C49" t="s">
        <v>602</v>
      </c>
    </row>
    <row r="50" spans="1:32">
      <c r="B50" s="169"/>
      <c r="C50" t="s">
        <v>537</v>
      </c>
      <c r="D50" t="s">
        <v>533</v>
      </c>
      <c r="E50" t="s">
        <v>747</v>
      </c>
      <c r="F50" t="s">
        <v>1037</v>
      </c>
      <c r="G50" t="s">
        <v>748</v>
      </c>
      <c r="H50" t="s">
        <v>1039</v>
      </c>
      <c r="I50" t="s">
        <v>1040</v>
      </c>
      <c r="J50" t="s">
        <v>1807</v>
      </c>
      <c r="K50" t="s">
        <v>1808</v>
      </c>
      <c r="L50" t="s">
        <v>749</v>
      </c>
      <c r="M50" t="s">
        <v>1041</v>
      </c>
      <c r="N50" t="s">
        <v>1042</v>
      </c>
      <c r="O50" t="s">
        <v>750</v>
      </c>
      <c r="P50" t="s">
        <v>751</v>
      </c>
      <c r="Q50" t="s">
        <v>1043</v>
      </c>
      <c r="R50" t="s">
        <v>720</v>
      </c>
      <c r="S50" t="s">
        <v>1044</v>
      </c>
      <c r="T50" t="s">
        <v>1045</v>
      </c>
      <c r="U50" t="s">
        <v>752</v>
      </c>
      <c r="V50" t="s">
        <v>753</v>
      </c>
      <c r="W50" t="s">
        <v>942</v>
      </c>
      <c r="X50" t="s">
        <v>1760</v>
      </c>
      <c r="Y50" t="s">
        <v>1761</v>
      </c>
      <c r="Z50" t="s">
        <v>1762</v>
      </c>
      <c r="AA50" t="s">
        <v>1763</v>
      </c>
      <c r="AB50" t="s">
        <v>1764</v>
      </c>
      <c r="AC50" t="s">
        <v>1765</v>
      </c>
      <c r="AD50" t="s">
        <v>1766</v>
      </c>
      <c r="AE50" t="s">
        <v>1767</v>
      </c>
      <c r="AF50" t="s">
        <v>1809</v>
      </c>
    </row>
    <row r="51" spans="1:32" s="169" customFormat="1">
      <c r="A51" s="170">
        <f>ROW()</f>
        <v>51</v>
      </c>
      <c r="B51" s="352">
        <f>AVERAGE(E51:W51,X51:AE51)</f>
        <v>7.2596001259259255</v>
      </c>
      <c r="C51" s="169" t="s">
        <v>35</v>
      </c>
      <c r="D51" s="169" t="s">
        <v>603</v>
      </c>
      <c r="E51" s="134" cm="1">
        <f t="array" ref="E51">INDEX(SimaPro!$1:$1048576,SimaProCED,MATCH(InputsBG!E$2,SimaPro!$1:$1,0))</f>
        <v>21.694472999999999</v>
      </c>
      <c r="F51" s="134" cm="1">
        <f t="array" ref="F51">INDEX(SimaPro!$1:$1048576,SimaProCED,MATCH(InputsBG!F$2,SimaPro!$1:$1,0))</f>
        <v>0.64454557999999995</v>
      </c>
      <c r="G51" s="134" cm="1">
        <f t="array" ref="G51">INDEX(SimaPro!$1:$1048576,SimaProCED,MATCH(InputsBG!G$2,SimaPro!$1:$1,0))</f>
        <v>5.0917567999999997</v>
      </c>
      <c r="H51" s="134" cm="1">
        <f t="array" ref="H51">INDEX(SimaPro!$1:$1048576,SimaProCED,MATCH(InputsBG!H$2,SimaPro!$1:$1,0))</f>
        <v>0.54378972000000003</v>
      </c>
      <c r="I51" s="134" cm="1">
        <f t="array" ref="I51">INDEX(SimaPro!$1:$1048576,SimaProCED,MATCH(InputsBG!I$2,SimaPro!$1:$1,0))</f>
        <v>0.49356214999999998</v>
      </c>
      <c r="J51" s="134" cm="1">
        <f t="array" ref="J51">INDEX(SimaPro!$1:$1048576,SimaProCED,MATCH(InputsBG!J$2,SimaPro!$1:$1,0))</f>
        <v>2.2985310000000001</v>
      </c>
      <c r="K51" s="134" cm="1">
        <f t="array" ref="K51">INDEX(SimaPro!$1:$1048576,SimaProCED,MATCH(InputsBG!K$2,SimaPro!$1:$1,0))</f>
        <v>0.78467224000000002</v>
      </c>
      <c r="L51" s="134" cm="1">
        <f t="array" ref="L51">INDEX(SimaPro!$1:$1048576,SimaProCED,MATCH(InputsBG!L$2,SimaPro!$1:$1,0))</f>
        <v>20.098161999999999</v>
      </c>
      <c r="M51" s="134" cm="1">
        <f t="array" ref="M51">INDEX(SimaPro!$1:$1048576,SimaProCED,MATCH(InputsBG!M$2,SimaPro!$1:$1,0))</f>
        <v>0.38354432999999999</v>
      </c>
      <c r="N51" s="134" cm="1">
        <f t="array" ref="N51">INDEX(SimaPro!$1:$1048576,SimaProCED,MATCH(InputsBG!N$2,SimaPro!$1:$1,0))</f>
        <v>0.27398787000000002</v>
      </c>
      <c r="O51" s="134" cm="1">
        <f t="array" ref="O51">INDEX(SimaPro!$1:$1048576,SimaProCED,MATCH(InputsBG!O$2,SimaPro!$1:$1,0))</f>
        <v>1.2860362999999999</v>
      </c>
      <c r="P51" s="134" cm="1">
        <f t="array" ref="P51">INDEX(SimaPro!$1:$1048576,SimaProCED,MATCH(InputsBG!P$2,SimaPro!$1:$1,0))</f>
        <v>4.6199390999999999</v>
      </c>
      <c r="Q51" s="134" cm="1">
        <f t="array" ref="Q51">INDEX(SimaPro!$1:$1048576,SimaProCED,MATCH(InputsBG!Q$2,SimaPro!$1:$1,0))</f>
        <v>2.2385139000000001</v>
      </c>
      <c r="R51" s="134" cm="1">
        <f t="array" ref="R51">INDEX(SimaPro!$1:$1048576,SimaProCED,MATCH(InputsBG!R$2,SimaPro!$1:$1,0))</f>
        <v>0.33616061000000003</v>
      </c>
      <c r="S51" s="134" cm="1">
        <f t="array" ref="S51">INDEX(SimaPro!$1:$1048576,SimaProCED,MATCH(InputsBG!S$2,SimaPro!$1:$1,0))</f>
        <v>0.13526832999999999</v>
      </c>
      <c r="T51" s="134" cm="1">
        <f t="array" ref="T51">INDEX(SimaPro!$1:$1048576,SimaProCED,MATCH(InputsBG!T$2,SimaPro!$1:$1,0))</f>
        <v>0.12038635</v>
      </c>
      <c r="U51" s="134" cm="1">
        <f t="array" ref="U51">INDEX(SimaPro!$1:$1048576,SimaProCED,MATCH(InputsBG!U$2,SimaPro!$1:$1,0))</f>
        <v>3.0833729000000001</v>
      </c>
      <c r="V51" s="134" cm="1">
        <f t="array" ref="V51">INDEX(SimaPro!$1:$1048576,SimaProCED,MATCH(InputsBG!V$2,SimaPro!$1:$1,0))</f>
        <v>0.23603183999999999</v>
      </c>
      <c r="W51" s="134" cm="1">
        <f t="array" ref="W51">INDEX(SimaPro!$1:$1048576,SimaProCED,MATCH(InputsBG!W$2,SimaPro!$1:$1,0))</f>
        <v>0.16909608000000001</v>
      </c>
      <c r="X51" s="134" cm="1">
        <f t="array" ref="X51">INDEX(SimaPro!$1:$1048576,SimaProCED,MATCH(InputsBG!X$2,SimaPro!$1:$1,0))</f>
        <v>1.5789483</v>
      </c>
      <c r="Y51" s="134" cm="1">
        <f t="array" ref="Y51">INDEX(SimaPro!$1:$1048576,SimaProCED,MATCH(InputsBG!Y$2,SimaPro!$1:$1,0))</f>
        <v>11.952499</v>
      </c>
      <c r="Z51" s="134" cm="1">
        <f t="array" ref="Z51">INDEX(SimaPro!$1:$1048576,SimaProCED,MATCH(InputsBG!Z$2,SimaPro!$1:$1,0))</f>
        <v>94.411681999999999</v>
      </c>
      <c r="AA51" s="134" cm="1">
        <f t="array" ref="AA51">INDEX(SimaPro!$1:$1048576,SimaProCED,MATCH(InputsBG!AA$2,SimaPro!$1:$1,0))</f>
        <v>3.9641310000000001</v>
      </c>
      <c r="AB51" s="134" cm="1">
        <f t="array" ref="AB51">INDEX(SimaPro!$1:$1048576,SimaProCED,MATCH(InputsBG!AB$2,SimaPro!$1:$1,0))</f>
        <v>2.8153844000000001</v>
      </c>
      <c r="AC51" s="134" cm="1">
        <f t="array" ref="AC51">INDEX(SimaPro!$1:$1048576,SimaProCED,MATCH(InputsBG!AC$2,SimaPro!$1:$1,0))</f>
        <v>8.9965655000000009</v>
      </c>
      <c r="AD51" s="134" cm="1">
        <f t="array" ref="AD51">INDEX(SimaPro!$1:$1048576,SimaProCED,MATCH(InputsBG!AD$2,SimaPro!$1:$1,0))</f>
        <v>4.9674886000000003</v>
      </c>
      <c r="AE51" s="134" cm="1">
        <f t="array" ref="AE51">INDEX(SimaPro!$1:$1048576,SimaProCED,MATCH(InputsBG!AE$2,SimaPro!$1:$1,0))</f>
        <v>2.7906745000000002</v>
      </c>
      <c r="AF51" s="134" cm="1">
        <f t="array" ref="AF51">INDEX(SimaPro!$1:$1048576,SimaProCED,MATCH(InputsBG!AF$2,SimaPro!$1:$1,0))</f>
        <v>33.174447999999998</v>
      </c>
    </row>
    <row r="52" spans="1:32" s="132" customFormat="1">
      <c r="B52" s="392"/>
      <c r="C52" s="287"/>
      <c r="E52" s="742">
        <f t="shared" ref="E52:AE52" si="41">E51/E53</f>
        <v>1.5077785750267159</v>
      </c>
      <c r="F52" s="742">
        <f t="shared" si="41"/>
        <v>0.96495547520733838</v>
      </c>
      <c r="G52" s="742">
        <f t="shared" si="41"/>
        <v>0.97006307521062773</v>
      </c>
      <c r="H52" s="742">
        <f t="shared" si="41"/>
        <v>0.97183420052142278</v>
      </c>
      <c r="I52" s="742">
        <f t="shared" si="41"/>
        <v>0.97332895827593024</v>
      </c>
      <c r="J52" s="742">
        <f t="shared" si="41"/>
        <v>0.93769486176663075</v>
      </c>
      <c r="K52" s="742">
        <f t="shared" si="41"/>
        <v>0.95278526397645003</v>
      </c>
      <c r="L52" s="742">
        <f t="shared" si="41"/>
        <v>0.94678287440078113</v>
      </c>
      <c r="M52" s="742">
        <f t="shared" si="41"/>
        <v>0.95581762117139291</v>
      </c>
      <c r="N52" s="742">
        <f t="shared" si="41"/>
        <v>0.96093506768982495</v>
      </c>
      <c r="O52" s="742">
        <f t="shared" si="41"/>
        <v>0.93088119895272292</v>
      </c>
      <c r="P52" s="742">
        <f t="shared" si="41"/>
        <v>1.5077553003600743</v>
      </c>
      <c r="Q52" s="742">
        <f t="shared" si="41"/>
        <v>0.95520237491236382</v>
      </c>
      <c r="R52" s="742">
        <f t="shared" si="41"/>
        <v>0.95624708178190476</v>
      </c>
      <c r="S52" s="742">
        <f t="shared" si="41"/>
        <v>0.96040003175103095</v>
      </c>
      <c r="T52" s="742">
        <f t="shared" si="41"/>
        <v>0.96038137207310725</v>
      </c>
      <c r="U52" s="742">
        <f t="shared" si="41"/>
        <v>0.92420410636899253</v>
      </c>
      <c r="V52" s="742">
        <f t="shared" si="41"/>
        <v>0.93055091985560101</v>
      </c>
      <c r="W52" s="742">
        <f t="shared" si="41"/>
        <v>0.92629957474687774</v>
      </c>
      <c r="X52" s="742">
        <f t="shared" si="41"/>
        <v>0.97633590962951633</v>
      </c>
      <c r="Y52" s="742">
        <f t="shared" si="41"/>
        <v>0.93616208211550012</v>
      </c>
      <c r="Z52" s="742">
        <f t="shared" si="41"/>
        <v>0.938902157417702</v>
      </c>
      <c r="AA52" s="742">
        <f t="shared" si="41"/>
        <v>0.69437397003430412</v>
      </c>
      <c r="AB52" s="742">
        <f t="shared" si="41"/>
        <v>0.92635773821631484</v>
      </c>
      <c r="AC52" s="742">
        <f t="shared" si="41"/>
        <v>0.96152188745185296</v>
      </c>
      <c r="AD52" s="742">
        <f t="shared" si="41"/>
        <v>0.94360261790823796</v>
      </c>
      <c r="AE52" s="742">
        <f t="shared" si="41"/>
        <v>0.94554095791387782</v>
      </c>
    </row>
    <row r="53" spans="1:32" s="169" customFormat="1">
      <c r="A53" s="170"/>
      <c r="B53" s="352">
        <f>AVERAGE(E53:W53,X53:AE53)</f>
        <v>7.3704041825925923</v>
      </c>
      <c r="C53" s="169" t="s">
        <v>1785</v>
      </c>
      <c r="D53" s="169" t="s">
        <v>603</v>
      </c>
      <c r="E53" s="169">
        <v>14.388368</v>
      </c>
      <c r="F53" s="169">
        <v>0.66795369999999998</v>
      </c>
      <c r="G53" s="169">
        <v>5.2488925000000002</v>
      </c>
      <c r="H53" s="169">
        <v>0.55954988999999999</v>
      </c>
      <c r="I53" s="169">
        <v>0.50708668000000001</v>
      </c>
      <c r="J53" s="169">
        <v>2.4512569000000002</v>
      </c>
      <c r="K53" s="169">
        <v>0.82355623</v>
      </c>
      <c r="L53" s="169">
        <v>21.227847000000001</v>
      </c>
      <c r="M53" s="169">
        <v>0.40127354999999998</v>
      </c>
      <c r="N53" s="169">
        <v>0.28512630999999999</v>
      </c>
      <c r="O53" s="169">
        <v>1.3815257000000001</v>
      </c>
      <c r="P53" s="169">
        <v>3.0641172999999999</v>
      </c>
      <c r="Q53" s="169">
        <v>2.3434970000000002</v>
      </c>
      <c r="R53" s="169">
        <v>0.35154158000000002</v>
      </c>
      <c r="S53" s="169">
        <v>0.14084582000000001</v>
      </c>
      <c r="T53" s="169">
        <v>0.12535265000000001</v>
      </c>
      <c r="U53" s="169">
        <v>3.3362466999999998</v>
      </c>
      <c r="V53" s="169">
        <v>0.25364742000000001</v>
      </c>
      <c r="W53" s="169">
        <v>0.18255009999999999</v>
      </c>
      <c r="X53" s="169">
        <v>1.6172183</v>
      </c>
      <c r="Y53" s="169">
        <v>12.767552999999999</v>
      </c>
      <c r="Z53" s="169">
        <v>100.55540000000001</v>
      </c>
      <c r="AA53" s="169">
        <v>5.7089280000000002</v>
      </c>
      <c r="AB53" s="169">
        <v>3.0391978000000002</v>
      </c>
      <c r="AC53" s="169">
        <v>9.3565894000000007</v>
      </c>
      <c r="AD53" s="169">
        <v>5.2643861999999997</v>
      </c>
      <c r="AE53" s="169">
        <v>2.9514052</v>
      </c>
    </row>
    <row r="56" spans="1:32">
      <c r="B56" s="169"/>
      <c r="C56" t="s">
        <v>537</v>
      </c>
      <c r="D56" t="s">
        <v>533</v>
      </c>
      <c r="E56" t="s">
        <v>747</v>
      </c>
      <c r="F56" t="s">
        <v>1037</v>
      </c>
      <c r="G56" t="s">
        <v>748</v>
      </c>
      <c r="H56" t="s">
        <v>1039</v>
      </c>
      <c r="I56" t="s">
        <v>1040</v>
      </c>
      <c r="J56" t="s">
        <v>1807</v>
      </c>
      <c r="K56" t="s">
        <v>1808</v>
      </c>
      <c r="L56" t="s">
        <v>749</v>
      </c>
      <c r="M56" t="s">
        <v>1041</v>
      </c>
      <c r="N56" t="s">
        <v>1042</v>
      </c>
      <c r="O56" t="s">
        <v>750</v>
      </c>
      <c r="P56" t="s">
        <v>751</v>
      </c>
      <c r="Q56" t="s">
        <v>1043</v>
      </c>
      <c r="R56" t="s">
        <v>720</v>
      </c>
      <c r="S56" t="s">
        <v>1044</v>
      </c>
      <c r="T56" t="s">
        <v>1045</v>
      </c>
      <c r="U56" t="s">
        <v>752</v>
      </c>
      <c r="V56" t="s">
        <v>753</v>
      </c>
      <c r="W56" t="s">
        <v>942</v>
      </c>
      <c r="X56" t="s">
        <v>1760</v>
      </c>
      <c r="Y56" t="s">
        <v>1761</v>
      </c>
      <c r="Z56" t="s">
        <v>1762</v>
      </c>
      <c r="AA56" t="s">
        <v>1763</v>
      </c>
      <c r="AB56" t="s">
        <v>1764</v>
      </c>
      <c r="AC56" t="s">
        <v>1765</v>
      </c>
      <c r="AD56" t="s">
        <v>1766</v>
      </c>
      <c r="AE56" t="s">
        <v>1767</v>
      </c>
      <c r="AF56" t="s">
        <v>1809</v>
      </c>
    </row>
    <row r="57" spans="1:32" s="169" customFormat="1">
      <c r="A57" s="170">
        <f>ROW()</f>
        <v>57</v>
      </c>
      <c r="B57" s="743">
        <f>AVERAGE(E57:W57,X57:AE57)</f>
        <v>2479.1138636296296</v>
      </c>
      <c r="C57" s="169" t="s">
        <v>35</v>
      </c>
      <c r="D57" s="169" t="s">
        <v>2</v>
      </c>
      <c r="E57" s="134" cm="1">
        <f t="array" ref="E57">INDEX(SimaPro!$1:$1048576,SimaProUBP,MATCH(InputsBG!E$2,SimaPro!$1:$1,0))</f>
        <v>9628.0306</v>
      </c>
      <c r="F57" s="134" cm="1">
        <f t="array" ref="F57">INDEX(SimaPro!$1:$1048576,SimaProUBP,MATCH(InputsBG!F$2,SimaPro!$1:$1,0))</f>
        <v>550.096</v>
      </c>
      <c r="G57" s="134" cm="1">
        <f t="array" ref="G57">INDEX(SimaPro!$1:$1048576,SimaProUBP,MATCH(InputsBG!G$2,SimaPro!$1:$1,0))</f>
        <v>227.52576999999999</v>
      </c>
      <c r="H57" s="134" cm="1">
        <f t="array" ref="H57">INDEX(SimaPro!$1:$1048576,SimaProUBP,MATCH(InputsBG!H$2,SimaPro!$1:$1,0))</f>
        <v>317.87313999999998</v>
      </c>
      <c r="I57" s="134" cm="1">
        <f t="array" ref="I57">INDEX(SimaPro!$1:$1048576,SimaProUBP,MATCH(InputsBG!I$2,SimaPro!$1:$1,0))</f>
        <v>248.45686000000001</v>
      </c>
      <c r="J57" s="134" cm="1">
        <f t="array" ref="J57">INDEX(SimaPro!$1:$1048576,SimaProUBP,MATCH(InputsBG!J$2,SimaPro!$1:$1,0))</f>
        <v>1029.6804999999999</v>
      </c>
      <c r="K57" s="134" cm="1">
        <f t="array" ref="K57">INDEX(SimaPro!$1:$1048576,SimaProUBP,MATCH(InputsBG!K$2,SimaPro!$1:$1,0))</f>
        <v>798.06155000000001</v>
      </c>
      <c r="L57" s="134" cm="1">
        <f t="array" ref="L57">INDEX(SimaPro!$1:$1048576,SimaProUBP,MATCH(InputsBG!L$2,SimaPro!$1:$1,0))</f>
        <v>11949.826999999999</v>
      </c>
      <c r="M57" s="134" cm="1">
        <f t="array" ref="M57">INDEX(SimaPro!$1:$1048576,SimaProUBP,MATCH(InputsBG!M$2,SimaPro!$1:$1,0))</f>
        <v>185.49520999999999</v>
      </c>
      <c r="N57" s="134" cm="1">
        <f t="array" ref="N57">INDEX(SimaPro!$1:$1048576,SimaProUBP,MATCH(InputsBG!N$2,SimaPro!$1:$1,0))</f>
        <v>211.78297000000001</v>
      </c>
      <c r="O57" s="134" cm="1">
        <f t="array" ref="O57">INDEX(SimaPro!$1:$1048576,SimaProUBP,MATCH(InputsBG!O$2,SimaPro!$1:$1,0))</f>
        <v>316.16967</v>
      </c>
      <c r="P57" s="134" cm="1">
        <f t="array" ref="P57">INDEX(SimaPro!$1:$1048576,SimaProUBP,MATCH(InputsBG!P$2,SimaPro!$1:$1,0))</f>
        <v>2054.8199</v>
      </c>
      <c r="Q57" s="134" cm="1">
        <f t="array" ref="Q57">INDEX(SimaPro!$1:$1048576,SimaProUBP,MATCH(InputsBG!Q$2,SimaPro!$1:$1,0))</f>
        <v>2377.8107</v>
      </c>
      <c r="R57" s="134" cm="1">
        <f t="array" ref="R57">INDEX(SimaPro!$1:$1048576,SimaProUBP,MATCH(InputsBG!R$2,SimaPro!$1:$1,0))</f>
        <v>306.29455000000002</v>
      </c>
      <c r="S57" s="134" cm="1">
        <f t="array" ref="S57">INDEX(SimaPro!$1:$1048576,SimaProUBP,MATCH(InputsBG!S$2,SimaPro!$1:$1,0))</f>
        <v>120.10393999999999</v>
      </c>
      <c r="T57" s="134" cm="1">
        <f t="array" ref="T57">INDEX(SimaPro!$1:$1048576,SimaProUBP,MATCH(InputsBG!T$2,SimaPro!$1:$1,0))</f>
        <v>90.234363000000002</v>
      </c>
      <c r="U57" s="134" cm="1">
        <f t="array" ref="U57">INDEX(SimaPro!$1:$1048576,SimaProUBP,MATCH(InputsBG!U$2,SimaPro!$1:$1,0))</f>
        <v>151.14988</v>
      </c>
      <c r="V57" s="134" cm="1">
        <f t="array" ref="V57">INDEX(SimaPro!$1:$1048576,SimaProUBP,MATCH(InputsBG!V$2,SimaPro!$1:$1,0))</f>
        <v>55.374447000000004</v>
      </c>
      <c r="W57" s="134" cm="1">
        <f t="array" ref="W57">INDEX(SimaPro!$1:$1048576,SimaProUBP,MATCH(InputsBG!W$2,SimaPro!$1:$1,0))</f>
        <v>45.250048</v>
      </c>
      <c r="X57" s="134" cm="1">
        <f t="array" ref="X57">INDEX(SimaPro!$1:$1048576,SimaProUBP,MATCH(InputsBG!X$2,SimaPro!$1:$1,0))</f>
        <v>713.00482999999997</v>
      </c>
      <c r="Y57" s="134" cm="1">
        <f t="array" ref="Y57">INDEX(SimaPro!$1:$1048576,SimaProUBP,MATCH(InputsBG!Y$2,SimaPro!$1:$1,0))</f>
        <v>3197.7555000000002</v>
      </c>
      <c r="Z57" s="134" cm="1">
        <f t="array" ref="Z57">INDEX(SimaPro!$1:$1048576,SimaProUBP,MATCH(InputsBG!Z$2,SimaPro!$1:$1,0))</f>
        <v>27182.091</v>
      </c>
      <c r="AA57" s="134" cm="1">
        <f t="array" ref="AA57">INDEX(SimaPro!$1:$1048576,SimaProUBP,MATCH(InputsBG!AA$2,SimaPro!$1:$1,0))</f>
        <v>855.18750999999997</v>
      </c>
      <c r="AB57" s="134" cm="1">
        <f t="array" ref="AB57">INDEX(SimaPro!$1:$1048576,SimaProUBP,MATCH(InputsBG!AB$2,SimaPro!$1:$1,0))</f>
        <v>1096.8227999999999</v>
      </c>
      <c r="AC57" s="134" cm="1">
        <f t="array" ref="AC57">INDEX(SimaPro!$1:$1048576,SimaProUBP,MATCH(InputsBG!AC$2,SimaPro!$1:$1,0))</f>
        <v>927.86649999999997</v>
      </c>
      <c r="AD57" s="134" cm="1">
        <f t="array" ref="AD57">INDEX(SimaPro!$1:$1048576,SimaProUBP,MATCH(InputsBG!AD$2,SimaPro!$1:$1,0))</f>
        <v>1516.2409</v>
      </c>
      <c r="AE57" s="134" cm="1">
        <f t="array" ref="AE57">INDEX(SimaPro!$1:$1048576,SimaProUBP,MATCH(InputsBG!AE$2,SimaPro!$1:$1,0))</f>
        <v>783.06817999999998</v>
      </c>
      <c r="AF57" s="134" cm="1">
        <f t="array" ref="AF57">INDEX(SimaPro!$1:$1048576,SimaProUBP,MATCH(InputsBG!AF$2,SimaPro!$1:$1,0))</f>
        <v>14466.371999999999</v>
      </c>
    </row>
    <row r="58" spans="1:32">
      <c r="E58" s="742">
        <f t="shared" ref="E58:AE58" si="42">E57/E59</f>
        <v>1.0519347885102646</v>
      </c>
      <c r="F58" s="742">
        <f t="shared" si="42"/>
        <v>0.99620786309813159</v>
      </c>
      <c r="G58" s="742">
        <f t="shared" si="42"/>
        <v>0.92909091094702434</v>
      </c>
      <c r="H58" s="742">
        <f t="shared" si="42"/>
        <v>0.99590600735271939</v>
      </c>
      <c r="I58" s="742">
        <f t="shared" si="42"/>
        <v>0.99586022973534505</v>
      </c>
      <c r="J58" s="742">
        <f t="shared" si="42"/>
        <v>0.99430664893483478</v>
      </c>
      <c r="K58" s="742">
        <f t="shared" si="42"/>
        <v>0.99610251900265367</v>
      </c>
      <c r="L58" s="742">
        <f t="shared" si="42"/>
        <v>0.99313092505708922</v>
      </c>
      <c r="M58" s="742">
        <f t="shared" si="42"/>
        <v>0.9916136188684086</v>
      </c>
      <c r="N58" s="742">
        <f t="shared" si="42"/>
        <v>0.99555321413030196</v>
      </c>
      <c r="O58" s="742">
        <f t="shared" si="42"/>
        <v>0.98533600220247775</v>
      </c>
      <c r="P58" s="742">
        <f t="shared" si="42"/>
        <v>1.049215159122957</v>
      </c>
      <c r="Q58" s="742">
        <f t="shared" si="42"/>
        <v>0.99643931067394664</v>
      </c>
      <c r="R58" s="742">
        <f t="shared" si="42"/>
        <v>0.99705104617841245</v>
      </c>
      <c r="S58" s="742">
        <f t="shared" si="42"/>
        <v>0.99627252012180501</v>
      </c>
      <c r="T58" s="742">
        <f t="shared" si="42"/>
        <v>0.99555960840905888</v>
      </c>
      <c r="U58" s="742">
        <f t="shared" si="42"/>
        <v>0.85489441154824974</v>
      </c>
      <c r="V58" s="742">
        <f t="shared" si="42"/>
        <v>0.97996028019835058</v>
      </c>
      <c r="W58" s="742">
        <f t="shared" si="42"/>
        <v>0.99011895156120044</v>
      </c>
      <c r="X58" s="742">
        <f t="shared" si="42"/>
        <v>0.99646170445422766</v>
      </c>
      <c r="Y58" s="742">
        <f t="shared" si="42"/>
        <v>0.98686602473087714</v>
      </c>
      <c r="Z58" s="742">
        <f t="shared" si="42"/>
        <v>0.99358739482418068</v>
      </c>
      <c r="AA58" s="742">
        <f t="shared" si="42"/>
        <v>0.75686539688664645</v>
      </c>
      <c r="AB58" s="742">
        <f t="shared" si="42"/>
        <v>0.98243477531839785</v>
      </c>
      <c r="AC58" s="742">
        <f t="shared" si="42"/>
        <v>0.97231027774832601</v>
      </c>
      <c r="AD58" s="742">
        <f t="shared" si="42"/>
        <v>0.9938609341450847</v>
      </c>
      <c r="AE58" s="742">
        <f t="shared" si="42"/>
        <v>0.99363808499647155</v>
      </c>
    </row>
    <row r="59" spans="1:32" s="169" customFormat="1">
      <c r="A59" s="170"/>
      <c r="B59" s="743">
        <f>AVERAGE(E59:W59,X59:AE59)</f>
        <v>2484.3772685925924</v>
      </c>
      <c r="C59" s="169" t="s">
        <v>1785</v>
      </c>
      <c r="D59" s="169" t="s">
        <v>2</v>
      </c>
      <c r="E59" s="169">
        <v>9152.6877000000004</v>
      </c>
      <c r="F59" s="169">
        <v>552.18997999999999</v>
      </c>
      <c r="G59" s="169">
        <v>244.89075</v>
      </c>
      <c r="H59" s="169">
        <v>319.17986000000002</v>
      </c>
      <c r="I59" s="169">
        <v>249.48969</v>
      </c>
      <c r="J59" s="169">
        <v>1035.5763999999999</v>
      </c>
      <c r="K59" s="169">
        <v>801.18415000000005</v>
      </c>
      <c r="L59" s="169">
        <v>12032.478999999999</v>
      </c>
      <c r="M59" s="169">
        <v>187.06399999999999</v>
      </c>
      <c r="N59" s="169">
        <v>212.72892999999999</v>
      </c>
      <c r="O59" s="169">
        <v>320.87497999999999</v>
      </c>
      <c r="P59" s="169">
        <v>1958.4351999999999</v>
      </c>
      <c r="Q59" s="169">
        <v>2386.3076000000001</v>
      </c>
      <c r="R59" s="169">
        <v>307.20047</v>
      </c>
      <c r="S59" s="169">
        <v>120.55329999999999</v>
      </c>
      <c r="T59" s="169">
        <v>90.636825999999999</v>
      </c>
      <c r="U59" s="169">
        <v>176.80531999999999</v>
      </c>
      <c r="V59" s="169">
        <v>56.506827999999999</v>
      </c>
      <c r="W59" s="169">
        <v>45.701627999999999</v>
      </c>
      <c r="X59" s="169">
        <v>715.53661</v>
      </c>
      <c r="Y59" s="169">
        <v>3240.3137000000002</v>
      </c>
      <c r="Z59" s="169">
        <v>27357.524000000001</v>
      </c>
      <c r="AA59" s="169">
        <v>1129.9069999999999</v>
      </c>
      <c r="AB59" s="169">
        <v>1116.4331999999999</v>
      </c>
      <c r="AC59" s="169">
        <v>954.29053999999996</v>
      </c>
      <c r="AD59" s="169">
        <v>1525.6067</v>
      </c>
      <c r="AE59" s="169">
        <v>788.08189000000004</v>
      </c>
    </row>
  </sheetData>
  <autoFilter ref="A2:AF37" xr:uid="{BD1C9805-BDD4-4E59-936F-07C907AF8876}"/>
  <phoneticPr fontId="0" type="noConversion"/>
  <conditionalFormatting sqref="E39:AF39">
    <cfRule type="dataBar" priority="304">
      <dataBar>
        <cfvo type="min"/>
        <cfvo type="max"/>
        <color rgb="FF638EC6"/>
      </dataBar>
      <extLst>
        <ext xmlns:x14="http://schemas.microsoft.com/office/spreadsheetml/2009/9/main" uri="{B025F937-C7B1-47D3-B67F-A62EFF666E3E}">
          <x14:id>{DE76D3F2-5D4B-4F92-B2C4-8260808CCAE1}</x14:id>
        </ext>
      </extLst>
    </cfRule>
  </conditionalFormatting>
  <conditionalFormatting sqref="E42:AF42">
    <cfRule type="dataBar" priority="306">
      <dataBar>
        <cfvo type="min"/>
        <cfvo type="max"/>
        <color rgb="FF638EC6"/>
      </dataBar>
      <extLst>
        <ext xmlns:x14="http://schemas.microsoft.com/office/spreadsheetml/2009/9/main" uri="{B025F937-C7B1-47D3-B67F-A62EFF666E3E}">
          <x14:id>{CB96AABD-1FB5-4E47-A4B4-5104F21C8016}</x14:id>
        </ext>
      </extLst>
    </cfRule>
  </conditionalFormatting>
  <conditionalFormatting sqref="E46:AE46">
    <cfRule type="dataBar" priority="308">
      <dataBar>
        <cfvo type="min"/>
        <cfvo type="max"/>
        <color rgb="FF638EC6"/>
      </dataBar>
      <extLst>
        <ext xmlns:x14="http://schemas.microsoft.com/office/spreadsheetml/2009/9/main" uri="{B025F937-C7B1-47D3-B67F-A62EFF666E3E}">
          <x14:id>{89C9CB7A-B9B0-40CC-B01D-ADC61F58685F}</x14:id>
        </ext>
      </extLst>
    </cfRule>
  </conditionalFormatting>
  <conditionalFormatting sqref="E52:AE52">
    <cfRule type="dataBar" priority="310">
      <dataBar>
        <cfvo type="min"/>
        <cfvo type="max"/>
        <color rgb="FF638EC6"/>
      </dataBar>
      <extLst>
        <ext xmlns:x14="http://schemas.microsoft.com/office/spreadsheetml/2009/9/main" uri="{B025F937-C7B1-47D3-B67F-A62EFF666E3E}">
          <x14:id>{2BF99D63-BA12-48D0-A14D-F525458CA0DB}</x14:id>
        </ext>
      </extLst>
    </cfRule>
  </conditionalFormatting>
  <conditionalFormatting sqref="E58:AE58">
    <cfRule type="dataBar" priority="312">
      <dataBar>
        <cfvo type="min"/>
        <cfvo type="max"/>
        <color rgb="FF638EC6"/>
      </dataBar>
      <extLst>
        <ext xmlns:x14="http://schemas.microsoft.com/office/spreadsheetml/2009/9/main" uri="{B025F937-C7B1-47D3-B67F-A62EFF666E3E}">
          <x14:id>{9D2CB92A-3747-4414-B68C-DE962A16E16D}</x14:id>
        </ext>
      </extLst>
    </cfRule>
  </conditionalFormatting>
  <conditionalFormatting sqref="E41:AE41">
    <cfRule type="dataBar" priority="314">
      <dataBar>
        <cfvo type="min"/>
        <cfvo type="max"/>
        <color rgb="FF638EC6"/>
      </dataBar>
      <extLst>
        <ext xmlns:x14="http://schemas.microsoft.com/office/spreadsheetml/2009/9/main" uri="{B025F937-C7B1-47D3-B67F-A62EFF666E3E}">
          <x14:id>{F0A8D9DD-9C29-4996-B7D0-63F7154D8006}</x14:id>
        </ext>
      </extLst>
    </cfRule>
  </conditionalFormatting>
  <conditionalFormatting sqref="E45">
    <cfRule type="dataBar" priority="9">
      <dataBar>
        <cfvo type="min"/>
        <cfvo type="max"/>
        <color rgb="FF638EC6"/>
      </dataBar>
      <extLst>
        <ext xmlns:x14="http://schemas.microsoft.com/office/spreadsheetml/2009/9/main" uri="{B025F937-C7B1-47D3-B67F-A62EFF666E3E}">
          <x14:id>{372D255D-A279-4654-B573-F9E4D84D980B}</x14:id>
        </ext>
      </extLst>
    </cfRule>
  </conditionalFormatting>
  <conditionalFormatting sqref="F45:AF45">
    <cfRule type="dataBar" priority="7">
      <dataBar>
        <cfvo type="min"/>
        <cfvo type="max"/>
        <color rgb="FF638EC6"/>
      </dataBar>
      <extLst>
        <ext xmlns:x14="http://schemas.microsoft.com/office/spreadsheetml/2009/9/main" uri="{B025F937-C7B1-47D3-B67F-A62EFF666E3E}">
          <x14:id>{BC6619C6-3153-4386-8A49-D69DF75F2547}</x14:id>
        </ext>
      </extLst>
    </cfRule>
  </conditionalFormatting>
  <conditionalFormatting sqref="E51">
    <cfRule type="dataBar" priority="6">
      <dataBar>
        <cfvo type="min"/>
        <cfvo type="max"/>
        <color rgb="FF638EC6"/>
      </dataBar>
      <extLst>
        <ext xmlns:x14="http://schemas.microsoft.com/office/spreadsheetml/2009/9/main" uri="{B025F937-C7B1-47D3-B67F-A62EFF666E3E}">
          <x14:id>{284AB36B-7174-484B-8967-B3020AAF0B2D}</x14:id>
        </ext>
      </extLst>
    </cfRule>
  </conditionalFormatting>
  <conditionalFormatting sqref="F51">
    <cfRule type="dataBar" priority="5">
      <dataBar>
        <cfvo type="min"/>
        <cfvo type="max"/>
        <color rgb="FF638EC6"/>
      </dataBar>
      <extLst>
        <ext xmlns:x14="http://schemas.microsoft.com/office/spreadsheetml/2009/9/main" uri="{B025F937-C7B1-47D3-B67F-A62EFF666E3E}">
          <x14:id>{90DBFDEC-73FA-43E4-A5FD-F21C34E4F54C}</x14:id>
        </ext>
      </extLst>
    </cfRule>
  </conditionalFormatting>
  <conditionalFormatting sqref="G51:AF51">
    <cfRule type="dataBar" priority="3">
      <dataBar>
        <cfvo type="min"/>
        <cfvo type="max"/>
        <color rgb="FF638EC6"/>
      </dataBar>
      <extLst>
        <ext xmlns:x14="http://schemas.microsoft.com/office/spreadsheetml/2009/9/main" uri="{B025F937-C7B1-47D3-B67F-A62EFF666E3E}">
          <x14:id>{B6631E0B-26E7-4759-8C72-12CAE87CF631}</x14:id>
        </ext>
      </extLst>
    </cfRule>
  </conditionalFormatting>
  <conditionalFormatting sqref="E57:AF57">
    <cfRule type="dataBar" priority="2">
      <dataBar>
        <cfvo type="min"/>
        <cfvo type="max"/>
        <color rgb="FF638EC6"/>
      </dataBar>
      <extLst>
        <ext xmlns:x14="http://schemas.microsoft.com/office/spreadsheetml/2009/9/main" uri="{B025F937-C7B1-47D3-B67F-A62EFF666E3E}">
          <x14:id>{CFD1AEE5-DC72-4E45-B6F6-8754674B7955}</x14:id>
        </ext>
      </extLst>
    </cfRule>
  </conditionalFormatting>
  <conditionalFormatting sqref="F57">
    <cfRule type="dataBar" priority="1">
      <dataBar>
        <cfvo type="min"/>
        <cfvo type="max"/>
        <color rgb="FF638EC6"/>
      </dataBar>
      <extLst>
        <ext xmlns:x14="http://schemas.microsoft.com/office/spreadsheetml/2009/9/main" uri="{B025F937-C7B1-47D3-B67F-A62EFF666E3E}">
          <x14:id>{33CCD6BA-1ADC-44BE-8A61-25CFD007A5F6}</x14:id>
        </ext>
      </extLst>
    </cfRule>
  </conditionalFormatting>
  <printOptions gridLines="1"/>
  <pageMargins left="0.78740157480314965" right="0.78740157480314965" top="0.98425196850393704" bottom="0.98425196850393704" header="0.51181102362204722" footer="0.51181102362204722"/>
  <pageSetup paperSize="9" scale="17" orientation="landscape" cellComments="atEnd" r:id="rId1"/>
  <headerFooter alignWithMargins="0">
    <oddHeader>&amp;F</oddHeader>
    <oddFooter>&amp;L&amp;B Vertraulich&amp;B&amp;C&amp;D&amp;RSeite &amp;P</oddFooter>
  </headerFooter>
  <legacyDrawing r:id="rId2"/>
  <extLst>
    <ext xmlns:x14="http://schemas.microsoft.com/office/spreadsheetml/2009/9/main" uri="{78C0D931-6437-407d-A8EE-F0AAD7539E65}">
      <x14:conditionalFormattings>
        <x14:conditionalFormatting xmlns:xm="http://schemas.microsoft.com/office/excel/2006/main">
          <x14:cfRule type="dataBar" id="{DE76D3F2-5D4B-4F92-B2C4-8260808CCAE1}">
            <x14:dataBar minLength="0" maxLength="100" border="1" negativeBarBorderColorSameAsPositive="0">
              <x14:cfvo type="autoMin"/>
              <x14:cfvo type="autoMax"/>
              <x14:borderColor rgb="FF638EC6"/>
              <x14:negativeFillColor rgb="FFFF0000"/>
              <x14:negativeBorderColor rgb="FFFF0000"/>
              <x14:axisColor rgb="FF000000"/>
            </x14:dataBar>
          </x14:cfRule>
          <xm:sqref>E39:AF39</xm:sqref>
        </x14:conditionalFormatting>
        <x14:conditionalFormatting xmlns:xm="http://schemas.microsoft.com/office/excel/2006/main">
          <x14:cfRule type="dataBar" id="{CB96AABD-1FB5-4E47-A4B4-5104F21C8016}">
            <x14:dataBar minLength="0" maxLength="100" border="1" negativeBarBorderColorSameAsPositive="0">
              <x14:cfvo type="autoMin"/>
              <x14:cfvo type="autoMax"/>
              <x14:borderColor rgb="FF638EC6"/>
              <x14:negativeFillColor rgb="FFFF0000"/>
              <x14:negativeBorderColor rgb="FFFF0000"/>
              <x14:axisColor rgb="FF000000"/>
            </x14:dataBar>
          </x14:cfRule>
          <xm:sqref>E42:AF42</xm:sqref>
        </x14:conditionalFormatting>
        <x14:conditionalFormatting xmlns:xm="http://schemas.microsoft.com/office/excel/2006/main">
          <x14:cfRule type="dataBar" id="{89C9CB7A-B9B0-40CC-B01D-ADC61F58685F}">
            <x14:dataBar minLength="0" maxLength="100" border="1" negativeBarBorderColorSameAsPositive="0">
              <x14:cfvo type="autoMin"/>
              <x14:cfvo type="autoMax"/>
              <x14:borderColor rgb="FF638EC6"/>
              <x14:negativeFillColor rgb="FFFF0000"/>
              <x14:negativeBorderColor rgb="FFFF0000"/>
              <x14:axisColor rgb="FF000000"/>
            </x14:dataBar>
          </x14:cfRule>
          <xm:sqref>E46:AE46</xm:sqref>
        </x14:conditionalFormatting>
        <x14:conditionalFormatting xmlns:xm="http://schemas.microsoft.com/office/excel/2006/main">
          <x14:cfRule type="dataBar" id="{2BF99D63-BA12-48D0-A14D-F525458CA0DB}">
            <x14:dataBar minLength="0" maxLength="100" border="1" negativeBarBorderColorSameAsPositive="0">
              <x14:cfvo type="autoMin"/>
              <x14:cfvo type="autoMax"/>
              <x14:borderColor rgb="FF638EC6"/>
              <x14:negativeFillColor rgb="FFFF0000"/>
              <x14:negativeBorderColor rgb="FFFF0000"/>
              <x14:axisColor rgb="FF000000"/>
            </x14:dataBar>
          </x14:cfRule>
          <xm:sqref>E52:AE52</xm:sqref>
        </x14:conditionalFormatting>
        <x14:conditionalFormatting xmlns:xm="http://schemas.microsoft.com/office/excel/2006/main">
          <x14:cfRule type="dataBar" id="{9D2CB92A-3747-4414-B68C-DE962A16E16D}">
            <x14:dataBar minLength="0" maxLength="100" border="1" negativeBarBorderColorSameAsPositive="0">
              <x14:cfvo type="autoMin"/>
              <x14:cfvo type="autoMax"/>
              <x14:borderColor rgb="FF638EC6"/>
              <x14:negativeFillColor rgb="FFFF0000"/>
              <x14:negativeBorderColor rgb="FFFF0000"/>
              <x14:axisColor rgb="FF000000"/>
            </x14:dataBar>
          </x14:cfRule>
          <xm:sqref>E58:AE58</xm:sqref>
        </x14:conditionalFormatting>
        <x14:conditionalFormatting xmlns:xm="http://schemas.microsoft.com/office/excel/2006/main">
          <x14:cfRule type="dataBar" id="{F0A8D9DD-9C29-4996-B7D0-63F7154D8006}">
            <x14:dataBar minLength="0" maxLength="100" border="1" negativeBarBorderColorSameAsPositive="0">
              <x14:cfvo type="autoMin"/>
              <x14:cfvo type="autoMax"/>
              <x14:borderColor rgb="FF638EC6"/>
              <x14:negativeFillColor rgb="FFFF0000"/>
              <x14:negativeBorderColor rgb="FFFF0000"/>
              <x14:axisColor rgb="FF000000"/>
            </x14:dataBar>
          </x14:cfRule>
          <xm:sqref>E41:AE41</xm:sqref>
        </x14:conditionalFormatting>
        <x14:conditionalFormatting xmlns:xm="http://schemas.microsoft.com/office/excel/2006/main">
          <x14:cfRule type="dataBar" id="{372D255D-A279-4654-B573-F9E4D84D980B}">
            <x14:dataBar minLength="0" maxLength="100" border="1" negativeBarBorderColorSameAsPositive="0">
              <x14:cfvo type="autoMin"/>
              <x14:cfvo type="autoMax"/>
              <x14:borderColor rgb="FF638EC6"/>
              <x14:negativeFillColor rgb="FFFF0000"/>
              <x14:negativeBorderColor rgb="FFFF0000"/>
              <x14:axisColor rgb="FF000000"/>
            </x14:dataBar>
          </x14:cfRule>
          <xm:sqref>E45</xm:sqref>
        </x14:conditionalFormatting>
        <x14:conditionalFormatting xmlns:xm="http://schemas.microsoft.com/office/excel/2006/main">
          <x14:cfRule type="dataBar" id="{BC6619C6-3153-4386-8A49-D69DF75F2547}">
            <x14:dataBar minLength="0" maxLength="100" border="1" negativeBarBorderColorSameAsPositive="0">
              <x14:cfvo type="autoMin"/>
              <x14:cfvo type="autoMax"/>
              <x14:borderColor rgb="FF638EC6"/>
              <x14:negativeFillColor rgb="FFFF0000"/>
              <x14:negativeBorderColor rgb="FFFF0000"/>
              <x14:axisColor rgb="FF000000"/>
            </x14:dataBar>
          </x14:cfRule>
          <xm:sqref>F45:AF45</xm:sqref>
        </x14:conditionalFormatting>
        <x14:conditionalFormatting xmlns:xm="http://schemas.microsoft.com/office/excel/2006/main">
          <x14:cfRule type="dataBar" id="{284AB36B-7174-484B-8967-B3020AAF0B2D}">
            <x14:dataBar minLength="0" maxLength="100" border="1" negativeBarBorderColorSameAsPositive="0">
              <x14:cfvo type="autoMin"/>
              <x14:cfvo type="autoMax"/>
              <x14:borderColor rgb="FF638EC6"/>
              <x14:negativeFillColor rgb="FFFF0000"/>
              <x14:negativeBorderColor rgb="FFFF0000"/>
              <x14:axisColor rgb="FF000000"/>
            </x14:dataBar>
          </x14:cfRule>
          <xm:sqref>E51</xm:sqref>
        </x14:conditionalFormatting>
        <x14:conditionalFormatting xmlns:xm="http://schemas.microsoft.com/office/excel/2006/main">
          <x14:cfRule type="dataBar" id="{90DBFDEC-73FA-43E4-A5FD-F21C34E4F54C}">
            <x14:dataBar minLength="0" maxLength="100" border="1" negativeBarBorderColorSameAsPositive="0">
              <x14:cfvo type="autoMin"/>
              <x14:cfvo type="autoMax"/>
              <x14:borderColor rgb="FF638EC6"/>
              <x14:negativeFillColor rgb="FFFF0000"/>
              <x14:negativeBorderColor rgb="FFFF0000"/>
              <x14:axisColor rgb="FF000000"/>
            </x14:dataBar>
          </x14:cfRule>
          <xm:sqref>F51</xm:sqref>
        </x14:conditionalFormatting>
        <x14:conditionalFormatting xmlns:xm="http://schemas.microsoft.com/office/excel/2006/main">
          <x14:cfRule type="dataBar" id="{B6631E0B-26E7-4759-8C72-12CAE87CF631}">
            <x14:dataBar minLength="0" maxLength="100" border="1" negativeBarBorderColorSameAsPositive="0">
              <x14:cfvo type="autoMin"/>
              <x14:cfvo type="autoMax"/>
              <x14:borderColor rgb="FF638EC6"/>
              <x14:negativeFillColor rgb="FFFF0000"/>
              <x14:negativeBorderColor rgb="FFFF0000"/>
              <x14:axisColor rgb="FF000000"/>
            </x14:dataBar>
          </x14:cfRule>
          <xm:sqref>G51:AF51</xm:sqref>
        </x14:conditionalFormatting>
        <x14:conditionalFormatting xmlns:xm="http://schemas.microsoft.com/office/excel/2006/main">
          <x14:cfRule type="dataBar" id="{CFD1AEE5-DC72-4E45-B6F6-8754674B7955}">
            <x14:dataBar minLength="0" maxLength="100" border="1" negativeBarBorderColorSameAsPositive="0">
              <x14:cfvo type="autoMin"/>
              <x14:cfvo type="autoMax"/>
              <x14:borderColor rgb="FF638EC6"/>
              <x14:negativeFillColor rgb="FFFF0000"/>
              <x14:negativeBorderColor rgb="FFFF0000"/>
              <x14:axisColor rgb="FF000000"/>
            </x14:dataBar>
          </x14:cfRule>
          <xm:sqref>E57:AF57</xm:sqref>
        </x14:conditionalFormatting>
        <x14:conditionalFormatting xmlns:xm="http://schemas.microsoft.com/office/excel/2006/main">
          <x14:cfRule type="dataBar" id="{33CCD6BA-1ADC-44BE-8A61-25CFD007A5F6}">
            <x14:dataBar minLength="0" maxLength="100" border="1" negativeBarBorderColorSameAsPositive="0">
              <x14:cfvo type="autoMin"/>
              <x14:cfvo type="autoMax"/>
              <x14:borderColor rgb="FF638EC6"/>
              <x14:negativeFillColor rgb="FFFF0000"/>
              <x14:negativeBorderColor rgb="FFFF0000"/>
              <x14:axisColor rgb="FF000000"/>
            </x14:dataBar>
          </x14:cfRule>
          <xm:sqref>F57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123"/>
  <sheetViews>
    <sheetView topLeftCell="B88" workbookViewId="0">
      <selection activeCell="M117" sqref="A117:XFD117"/>
    </sheetView>
  </sheetViews>
  <sheetFormatPr baseColWidth="10" defaultRowHeight="12.75" outlineLevelCol="1"/>
  <cols>
    <col min="1" max="1" width="56.7109375" style="17" customWidth="1"/>
    <col min="2" max="2" width="49.85546875" style="126" customWidth="1"/>
    <col min="3" max="3" width="47.28515625" style="7" customWidth="1"/>
    <col min="4" max="4" width="22.140625" style="147" customWidth="1" outlineLevel="1"/>
    <col min="5" max="5" width="5.42578125" customWidth="1"/>
    <col min="6" max="6" width="44.7109375" bestFit="1" customWidth="1"/>
    <col min="8" max="8" width="30" customWidth="1"/>
    <col min="9" max="9" width="28.42578125" customWidth="1"/>
  </cols>
  <sheetData>
    <row r="1" spans="1:8" s="6" customFormat="1">
      <c r="A1" s="17" t="s">
        <v>11</v>
      </c>
      <c r="B1" s="125" t="s">
        <v>12</v>
      </c>
      <c r="C1" s="5" t="s">
        <v>13</v>
      </c>
      <c r="D1" s="819" t="str" cm="1">
        <f t="array" aca="1" ref="D1:D104" ca="1">OFFSET(A1:A104,0,sprache-1)</f>
        <v>English</v>
      </c>
      <c r="F1" s="6" t="s">
        <v>15</v>
      </c>
      <c r="G1" s="6" t="s">
        <v>1636</v>
      </c>
      <c r="H1" s="6" t="s">
        <v>1946</v>
      </c>
    </row>
    <row r="2" spans="1:8" ht="25.5">
      <c r="A2" s="17" t="s">
        <v>116</v>
      </c>
      <c r="B2" s="136" t="s">
        <v>769</v>
      </c>
      <c r="C2" s="7" t="s">
        <v>1248</v>
      </c>
      <c r="D2" s="147" t="str">
        <f ca="1"/>
        <v>naturemade Star certification: Energy products from biogas plants</v>
      </c>
      <c r="E2">
        <v>2</v>
      </c>
      <c r="F2" t="s">
        <v>11</v>
      </c>
      <c r="G2">
        <v>10</v>
      </c>
    </row>
    <row r="3" spans="1:8">
      <c r="A3" s="149" t="s">
        <v>1723</v>
      </c>
      <c r="B3" s="136" t="s">
        <v>1725</v>
      </c>
      <c r="C3" s="573" t="s">
        <v>1724</v>
      </c>
      <c r="D3" s="147" t="str">
        <f ca="1"/>
        <v>Language</v>
      </c>
      <c r="E3">
        <v>3</v>
      </c>
      <c r="F3" t="s">
        <v>12</v>
      </c>
      <c r="G3">
        <v>14</v>
      </c>
    </row>
    <row r="4" spans="1:8">
      <c r="A4" s="17" t="s">
        <v>37</v>
      </c>
      <c r="B4" s="136" t="s">
        <v>417</v>
      </c>
      <c r="C4" s="7" t="s">
        <v>1249</v>
      </c>
      <c r="D4" s="147" t="str">
        <f ca="1"/>
        <v>Plant name and reference period</v>
      </c>
      <c r="E4">
        <v>4</v>
      </c>
      <c r="F4" t="s">
        <v>13</v>
      </c>
      <c r="G4">
        <v>13</v>
      </c>
    </row>
    <row r="5" spans="1:8">
      <c r="A5" s="17" t="s">
        <v>171</v>
      </c>
      <c r="B5" s="126" t="s">
        <v>393</v>
      </c>
      <c r="C5" s="7" t="s">
        <v>1250</v>
      </c>
      <c r="D5" s="147" t="str">
        <f ca="1"/>
        <v>Quantity</v>
      </c>
      <c r="E5">
        <v>5</v>
      </c>
      <c r="F5" t="str">
        <f ca="1">D1</f>
        <v>English</v>
      </c>
    </row>
    <row r="6" spans="1:8">
      <c r="A6" s="17" t="s">
        <v>292</v>
      </c>
      <c r="B6" s="126" t="s">
        <v>813</v>
      </c>
      <c r="C6" s="7" t="s">
        <v>1196</v>
      </c>
      <c r="D6" s="147" t="str">
        <f ca="1"/>
        <v>Plant type and fermenter size</v>
      </c>
      <c r="E6">
        <v>6</v>
      </c>
      <c r="F6" s="149" t="s">
        <v>1637</v>
      </c>
      <c r="G6">
        <f>INDEX(G2:G5,sprache,1)</f>
        <v>13</v>
      </c>
    </row>
    <row r="7" spans="1:8" ht="25.5">
      <c r="A7" s="149" t="s">
        <v>1706</v>
      </c>
      <c r="B7" s="136" t="s">
        <v>1708</v>
      </c>
      <c r="C7" s="573" t="s">
        <v>1707</v>
      </c>
      <c r="D7" s="147" t="str">
        <f ca="1"/>
        <v>All entries for substrate input are made in the sheet Substrate</v>
      </c>
      <c r="E7">
        <v>7</v>
      </c>
    </row>
    <row r="8" spans="1:8">
      <c r="A8" s="149" t="s">
        <v>1726</v>
      </c>
      <c r="B8" s="136" t="s">
        <v>1727</v>
      </c>
      <c r="C8" s="573" t="s">
        <v>1728</v>
      </c>
      <c r="D8" s="147" t="str">
        <f ca="1"/>
        <v>Waste substrates</v>
      </c>
      <c r="E8">
        <v>8</v>
      </c>
    </row>
    <row r="9" spans="1:8">
      <c r="A9" s="149" t="s">
        <v>869</v>
      </c>
      <c r="B9" s="136" t="s">
        <v>870</v>
      </c>
      <c r="C9" s="7" t="s">
        <v>1197</v>
      </c>
      <c r="D9" s="147" t="str">
        <f ca="1"/>
        <v>Power supply from the grid</v>
      </c>
      <c r="E9">
        <v>9</v>
      </c>
    </row>
    <row r="10" spans="1:8">
      <c r="A10" s="17" t="s">
        <v>358</v>
      </c>
      <c r="B10" s="126" t="s">
        <v>474</v>
      </c>
      <c r="C10" s="7" t="s">
        <v>1251</v>
      </c>
      <c r="D10" s="147" t="str">
        <f ca="1"/>
        <v>Fuel oil consumption</v>
      </c>
      <c r="E10">
        <v>10</v>
      </c>
    </row>
    <row r="11" spans="1:8">
      <c r="A11" s="17" t="s">
        <v>356</v>
      </c>
      <c r="B11" s="136" t="s">
        <v>782</v>
      </c>
      <c r="C11" s="7" t="s">
        <v>1198</v>
      </c>
      <c r="D11" s="147" t="str">
        <f ca="1"/>
        <v>Outputs of the plant</v>
      </c>
      <c r="E11">
        <v>11</v>
      </c>
    </row>
    <row r="12" spans="1:8" ht="25.5">
      <c r="A12" s="149" t="s">
        <v>1745</v>
      </c>
      <c r="B12" s="136" t="s">
        <v>1746</v>
      </c>
      <c r="C12" s="7" t="s">
        <v>1747</v>
      </c>
      <c r="D12" s="147" t="str">
        <f ca="1"/>
        <v>Total production biogas, gross (default 6.5 kWh Ho/m3 biogas)</v>
      </c>
      <c r="E12">
        <v>12</v>
      </c>
    </row>
    <row r="13" spans="1:8">
      <c r="A13" s="149" t="s">
        <v>1709</v>
      </c>
      <c r="B13" s="136" t="s">
        <v>1713</v>
      </c>
      <c r="C13" s="573" t="s">
        <v>1714</v>
      </c>
      <c r="D13" s="147" t="str">
        <f ca="1"/>
        <v>Biogas burned in heating, CHP</v>
      </c>
      <c r="E13">
        <v>13</v>
      </c>
    </row>
    <row r="14" spans="1:8">
      <c r="A14" s="17" t="s">
        <v>372</v>
      </c>
      <c r="B14" s="126" t="s">
        <v>475</v>
      </c>
      <c r="C14" s="7" t="s">
        <v>1199</v>
      </c>
      <c r="D14" s="147" t="str">
        <f ca="1"/>
        <v>Electricity: sale and consumption outside the plant</v>
      </c>
      <c r="E14">
        <v>14</v>
      </c>
    </row>
    <row r="15" spans="1:8">
      <c r="A15" s="17" t="s">
        <v>17</v>
      </c>
      <c r="B15" s="126" t="s">
        <v>18</v>
      </c>
      <c r="C15" s="7" t="s">
        <v>1200</v>
      </c>
      <c r="D15" s="147" t="str">
        <f ca="1"/>
        <v>Results:</v>
      </c>
      <c r="E15">
        <v>15</v>
      </c>
    </row>
    <row r="16" spans="1:8" ht="25.5">
      <c r="A16" s="149" t="s">
        <v>1736</v>
      </c>
      <c r="B16" s="136" t="s">
        <v>1737</v>
      </c>
      <c r="C16" s="7" t="s">
        <v>1738</v>
      </c>
      <c r="D16" s="147" t="str">
        <f ca="1"/>
        <v>Biomethane: sales and consumption outside the plant (11.4 kWh Ho/m3)</v>
      </c>
      <c r="E16">
        <v>16</v>
      </c>
    </row>
    <row r="17" spans="1:9">
      <c r="A17" s="17" t="s">
        <v>35</v>
      </c>
      <c r="B17" s="128" t="s">
        <v>35</v>
      </c>
      <c r="C17" s="7" t="s">
        <v>35</v>
      </c>
      <c r="D17" s="147" t="str">
        <f ca="1"/>
        <v>Total</v>
      </c>
      <c r="E17">
        <v>17</v>
      </c>
      <c r="H17" s="10"/>
      <c r="I17" s="9"/>
    </row>
    <row r="18" spans="1:9">
      <c r="A18" s="17" t="s">
        <v>359</v>
      </c>
      <c r="B18" s="126" t="s">
        <v>391</v>
      </c>
      <c r="C18" s="7" t="s">
        <v>1252</v>
      </c>
      <c r="D18" s="147" t="str">
        <f ca="1"/>
        <v>Natural gas consumption</v>
      </c>
      <c r="E18">
        <v>18</v>
      </c>
    </row>
    <row r="19" spans="1:9">
      <c r="A19" s="17" t="s">
        <v>286</v>
      </c>
      <c r="B19" s="136" t="s">
        <v>481</v>
      </c>
      <c r="C19" s="7" t="s">
        <v>1253</v>
      </c>
      <c r="D19" s="147" t="str">
        <f ca="1"/>
        <v>Naturemade test value</v>
      </c>
      <c r="E19">
        <v>19</v>
      </c>
    </row>
    <row r="20" spans="1:9">
      <c r="A20" s="149" t="s">
        <v>860</v>
      </c>
      <c r="B20" s="288" t="s">
        <v>392</v>
      </c>
      <c r="C20" s="7" t="s">
        <v>1254</v>
      </c>
      <c r="D20" s="147" t="str">
        <f ca="1"/>
        <v>Direct emissions (e.g. slurry storage, post-rotting)</v>
      </c>
      <c r="E20">
        <v>20</v>
      </c>
      <c r="H20" s="11"/>
    </row>
    <row r="21" spans="1:9">
      <c r="A21" s="17" t="s">
        <v>277</v>
      </c>
      <c r="B21" s="137" t="s">
        <v>783</v>
      </c>
      <c r="C21" s="7" t="s">
        <v>1255</v>
      </c>
      <c r="D21" s="147" t="str">
        <f ca="1"/>
        <v>Total input quantity for the plant</v>
      </c>
      <c r="E21">
        <v>21</v>
      </c>
    </row>
    <row r="22" spans="1:9">
      <c r="A22" s="17" t="s">
        <v>19</v>
      </c>
      <c r="B22" s="129" t="s">
        <v>476</v>
      </c>
      <c r="C22" s="7" t="s">
        <v>1201</v>
      </c>
      <c r="D22" s="147" t="str">
        <f ca="1"/>
        <v>per kWh electricity</v>
      </c>
      <c r="E22">
        <v>22</v>
      </c>
    </row>
    <row r="23" spans="1:9">
      <c r="A23" s="17" t="s">
        <v>65</v>
      </c>
      <c r="B23" s="137" t="s">
        <v>399</v>
      </c>
      <c r="C23" s="7" t="s">
        <v>1202</v>
      </c>
      <c r="D23" s="147" t="str">
        <f ca="1"/>
        <v>Digested sludge in cement works (dewatered)</v>
      </c>
      <c r="E23">
        <v>23</v>
      </c>
    </row>
    <row r="24" spans="1:9">
      <c r="A24" s="149" t="s">
        <v>857</v>
      </c>
      <c r="B24" s="284" t="s">
        <v>859</v>
      </c>
      <c r="C24" s="7" t="s">
        <v>1203</v>
      </c>
      <c r="D24" s="147" t="str">
        <f ca="1"/>
        <v>Biogas losses (methane slip, treatment, interruptions)</v>
      </c>
      <c r="E24">
        <v>24</v>
      </c>
    </row>
    <row r="25" spans="1:9">
      <c r="A25" s="17" t="s">
        <v>20</v>
      </c>
      <c r="B25" s="126" t="s">
        <v>21</v>
      </c>
      <c r="C25" s="7" t="s">
        <v>1204</v>
      </c>
      <c r="D25" s="147" t="str">
        <f ca="1"/>
        <v>No check possible</v>
      </c>
      <c r="E25">
        <v>25</v>
      </c>
    </row>
    <row r="26" spans="1:9">
      <c r="A26" s="17" t="s">
        <v>66</v>
      </c>
      <c r="B26" s="126" t="s">
        <v>768</v>
      </c>
      <c r="C26" s="7" t="s">
        <v>1256</v>
      </c>
      <c r="D26" s="147" t="str">
        <f ca="1"/>
        <v>Global naturemade Star criterion met</v>
      </c>
      <c r="E26">
        <v>26</v>
      </c>
    </row>
    <row r="27" spans="1:9">
      <c r="A27" s="17" t="s">
        <v>38</v>
      </c>
      <c r="B27" s="126" t="s">
        <v>814</v>
      </c>
      <c r="C27" s="7" t="s">
        <v>1205</v>
      </c>
      <c r="D27" s="147" t="str">
        <f ca="1"/>
        <v>naturemade Star criterion not fulfilled</v>
      </c>
      <c r="E27">
        <v>27</v>
      </c>
    </row>
    <row r="28" spans="1:9">
      <c r="A28" s="149" t="s">
        <v>1768</v>
      </c>
      <c r="B28" s="138" t="s">
        <v>1609</v>
      </c>
      <c r="C28" s="7" t="s">
        <v>1206</v>
      </c>
      <c r="D28" s="147" t="str">
        <f ca="1"/>
        <v>Treatment and storage of digestate</v>
      </c>
      <c r="E28">
        <v>28</v>
      </c>
    </row>
    <row r="29" spans="1:9">
      <c r="A29" s="149" t="s">
        <v>2059</v>
      </c>
      <c r="B29" s="149" t="s">
        <v>2060</v>
      </c>
      <c r="C29" s="149" t="s">
        <v>2060</v>
      </c>
      <c r="D29" s="147" t="str">
        <f ca="1"/>
        <v>Eco-indicator 99 points</v>
      </c>
      <c r="E29">
        <v>29</v>
      </c>
    </row>
    <row r="30" spans="1:9" ht="25.5">
      <c r="A30" s="17" t="s">
        <v>172</v>
      </c>
      <c r="B30" s="127" t="s">
        <v>485</v>
      </c>
      <c r="C30" s="7" t="s">
        <v>1207</v>
      </c>
      <c r="D30" s="147" t="str">
        <f ca="1"/>
        <v>Simple distance plant - Spreading/Disposal</v>
      </c>
      <c r="E30">
        <v>30</v>
      </c>
    </row>
    <row r="31" spans="1:9">
      <c r="A31" s="149" t="s">
        <v>1175</v>
      </c>
      <c r="B31" s="126" t="s">
        <v>1176</v>
      </c>
      <c r="C31" s="7" t="s">
        <v>1257</v>
      </c>
      <c r="D31" s="147" t="str">
        <f ca="1"/>
        <v>Ecological scarcity points 2013</v>
      </c>
      <c r="E31">
        <v>31</v>
      </c>
    </row>
    <row r="32" spans="1:9" ht="25.5">
      <c r="A32" s="17" t="s">
        <v>382</v>
      </c>
      <c r="B32" s="136" t="s">
        <v>781</v>
      </c>
      <c r="C32" s="7" t="s">
        <v>1258</v>
      </c>
      <c r="D32" s="147" t="str">
        <f ca="1"/>
        <v>Feed into a heat network / distribution losses district heating network</v>
      </c>
      <c r="E32">
        <v>32</v>
      </c>
    </row>
    <row r="33" spans="1:5">
      <c r="A33" s="17" t="s">
        <v>23</v>
      </c>
      <c r="B33" s="136" t="s">
        <v>784</v>
      </c>
      <c r="C33" s="7" t="s">
        <v>1208</v>
      </c>
      <c r="D33" s="147" t="str">
        <f ca="1"/>
        <v>Demand for renewable energy resources</v>
      </c>
      <c r="E33">
        <v>33</v>
      </c>
    </row>
    <row r="34" spans="1:5">
      <c r="A34" s="17" t="s">
        <v>24</v>
      </c>
      <c r="B34" s="136" t="s">
        <v>785</v>
      </c>
      <c r="C34" s="7" t="s">
        <v>1209</v>
      </c>
      <c r="D34" s="147" t="str">
        <f ca="1"/>
        <v>Demand for non-renewable energy resources</v>
      </c>
      <c r="E34">
        <v>34</v>
      </c>
    </row>
    <row r="35" spans="1:5">
      <c r="A35" s="149" t="s">
        <v>945</v>
      </c>
      <c r="B35" s="126" t="s">
        <v>946</v>
      </c>
      <c r="C35" s="7" t="s">
        <v>1259</v>
      </c>
      <c r="D35" s="147" t="str">
        <f ca="1"/>
        <v>Carbon footprint 100a 2013</v>
      </c>
      <c r="E35">
        <v>35</v>
      </c>
    </row>
    <row r="36" spans="1:5">
      <c r="A36" s="17" t="s">
        <v>276</v>
      </c>
      <c r="B36" s="128" t="s">
        <v>478</v>
      </c>
      <c r="C36" s="7" t="s">
        <v>1210</v>
      </c>
      <c r="D36" s="147" t="str">
        <f ca="1"/>
        <v>Fresh mass (FM)</v>
      </c>
      <c r="E36">
        <v>36</v>
      </c>
    </row>
    <row r="37" spans="1:5" ht="25.5">
      <c r="A37" s="149" t="s">
        <v>2047</v>
      </c>
      <c r="B37" s="126" t="s">
        <v>2048</v>
      </c>
      <c r="C37" s="7" t="s">
        <v>2049</v>
      </c>
      <c r="D37" s="147" t="str">
        <f ca="1"/>
        <v>Financial income (plus) or expense (minus), excluding transport costs</v>
      </c>
      <c r="E37">
        <v>37</v>
      </c>
    </row>
    <row r="38" spans="1:5" ht="25.5">
      <c r="A38" s="149" t="s">
        <v>726</v>
      </c>
      <c r="B38" s="282" t="s">
        <v>1610</v>
      </c>
      <c r="C38" s="7" t="s">
        <v>1211</v>
      </c>
      <c r="D38" s="147" t="str">
        <f ca="1"/>
        <v>Simple distance, delivery with tractor</v>
      </c>
      <c r="E38">
        <v>38</v>
      </c>
    </row>
    <row r="39" spans="1:5" ht="25.5">
      <c r="A39" s="149" t="s">
        <v>727</v>
      </c>
      <c r="B39" s="282" t="s">
        <v>1611</v>
      </c>
      <c r="C39" s="7" t="s">
        <v>1212</v>
      </c>
      <c r="D39" s="147" t="str">
        <f ca="1"/>
        <v>Simple distance, delivery by truck</v>
      </c>
      <c r="E39">
        <v>39</v>
      </c>
    </row>
    <row r="40" spans="1:5">
      <c r="A40" s="17" t="s">
        <v>342</v>
      </c>
      <c r="B40" s="127" t="s">
        <v>400</v>
      </c>
      <c r="C40" s="7" t="s">
        <v>1213</v>
      </c>
      <c r="D40" s="147" t="str">
        <f ca="1"/>
        <v>Number of animals</v>
      </c>
      <c r="E40">
        <v>40</v>
      </c>
    </row>
    <row r="41" spans="1:5">
      <c r="A41" s="17" t="s">
        <v>85</v>
      </c>
      <c r="B41" s="127" t="s">
        <v>401</v>
      </c>
      <c r="C41" s="7" t="s">
        <v>1214</v>
      </c>
      <c r="D41" s="147" t="str">
        <f ca="1"/>
        <v>Fermenter size</v>
      </c>
      <c r="E41">
        <v>41</v>
      </c>
    </row>
    <row r="42" spans="1:5">
      <c r="A42" s="17" t="s">
        <v>1739</v>
      </c>
      <c r="B42" s="127" t="s">
        <v>1740</v>
      </c>
      <c r="C42" s="7" t="s">
        <v>1741</v>
      </c>
      <c r="D42" s="147" t="str">
        <f ca="1"/>
        <v>Ignition oil consumption (11.4 kWh Ho/kg)</v>
      </c>
      <c r="E42">
        <v>42</v>
      </c>
    </row>
    <row r="43" spans="1:5" ht="25.5">
      <c r="A43" s="17" t="s">
        <v>373</v>
      </c>
      <c r="B43" s="126" t="s">
        <v>815</v>
      </c>
      <c r="C43" s="7" t="s">
        <v>1215</v>
      </c>
      <c r="D43" s="147" t="str">
        <f ca="1"/>
        <v>Local heat utilisation: sale, consumption in the vicinity of the plant</v>
      </c>
      <c r="E43">
        <v>43</v>
      </c>
    </row>
    <row r="44" spans="1:5">
      <c r="A44" s="17" t="s">
        <v>25</v>
      </c>
      <c r="B44" s="126" t="s">
        <v>1612</v>
      </c>
      <c r="C44" s="7" t="s">
        <v>1216</v>
      </c>
      <c r="D44" s="147" t="str">
        <f ca="1"/>
        <v>Average distance for co-substrate transport by truck</v>
      </c>
      <c r="E44">
        <v>44</v>
      </c>
    </row>
    <row r="45" spans="1:5">
      <c r="A45" s="17" t="s">
        <v>298</v>
      </c>
      <c r="B45" s="126" t="s">
        <v>479</v>
      </c>
      <c r="C45" s="7" t="s">
        <v>1260</v>
      </c>
      <c r="D45" s="147" t="str">
        <f ca="1"/>
        <v>External energy demand</v>
      </c>
      <c r="E45">
        <v>45</v>
      </c>
    </row>
    <row r="46" spans="1:5">
      <c r="A46" s="17" t="s">
        <v>346</v>
      </c>
      <c r="B46" s="126" t="s">
        <v>387</v>
      </c>
      <c r="C46" s="7" t="s">
        <v>1261</v>
      </c>
      <c r="D46" s="147" t="str">
        <f ca="1"/>
        <v>Purchased substrates</v>
      </c>
      <c r="E46">
        <v>46</v>
      </c>
    </row>
    <row r="47" spans="1:5">
      <c r="A47" s="17" t="s">
        <v>30</v>
      </c>
      <c r="B47" s="126" t="s">
        <v>388</v>
      </c>
      <c r="C47" s="7" t="s">
        <v>388</v>
      </c>
      <c r="D47" s="147" t="str">
        <f ca="1"/>
        <v>Transports</v>
      </c>
      <c r="E47">
        <v>47</v>
      </c>
    </row>
    <row r="48" spans="1:5">
      <c r="A48" s="149" t="s">
        <v>539</v>
      </c>
      <c r="B48" s="126" t="s">
        <v>754</v>
      </c>
      <c r="C48" s="7" t="s">
        <v>1262</v>
      </c>
      <c r="D48" s="147" t="str">
        <f ca="1"/>
        <v>Incineration</v>
      </c>
      <c r="E48">
        <v>48</v>
      </c>
    </row>
    <row r="49" spans="1:8">
      <c r="A49" s="17" t="s">
        <v>67</v>
      </c>
      <c r="B49" s="126" t="s">
        <v>389</v>
      </c>
      <c r="C49" s="7" t="s">
        <v>1263</v>
      </c>
      <c r="D49" s="147" t="str">
        <f ca="1"/>
        <v>Environmental product declaration</v>
      </c>
      <c r="E49">
        <v>49</v>
      </c>
    </row>
    <row r="50" spans="1:8">
      <c r="A50" s="17" t="s">
        <v>34</v>
      </c>
      <c r="B50" s="126" t="s">
        <v>390</v>
      </c>
      <c r="C50" s="7" t="s">
        <v>390</v>
      </c>
      <c r="D50" s="147" t="str">
        <f ca="1"/>
        <v>Infrastructure</v>
      </c>
      <c r="E50">
        <v>50</v>
      </c>
    </row>
    <row r="51" spans="1:8">
      <c r="A51" s="17" t="s">
        <v>31</v>
      </c>
      <c r="B51" s="126" t="s">
        <v>480</v>
      </c>
      <c r="C51" s="7" t="s">
        <v>1264</v>
      </c>
      <c r="D51" s="147" t="str">
        <f ca="1"/>
        <v>Limit value, electricity</v>
      </c>
      <c r="E51">
        <v>51</v>
      </c>
    </row>
    <row r="52" spans="1:8">
      <c r="A52" s="17" t="s">
        <v>32</v>
      </c>
      <c r="B52" s="126" t="s">
        <v>385</v>
      </c>
      <c r="C52" s="7" t="s">
        <v>1265</v>
      </c>
      <c r="D52" s="147" t="str">
        <f ca="1"/>
        <v>Limit value, heat</v>
      </c>
      <c r="E52">
        <v>52</v>
      </c>
    </row>
    <row r="53" spans="1:8">
      <c r="A53" s="17" t="s">
        <v>1192</v>
      </c>
      <c r="B53" s="136" t="s">
        <v>1193</v>
      </c>
      <c r="C53" s="7" t="s">
        <v>1266</v>
      </c>
      <c r="D53" s="147" t="str">
        <f ca="1"/>
        <v>Limit value, biomethane</v>
      </c>
      <c r="E53">
        <v>53</v>
      </c>
    </row>
    <row r="54" spans="1:8">
      <c r="A54" s="17" t="s">
        <v>711</v>
      </c>
      <c r="B54" s="126" t="s">
        <v>487</v>
      </c>
      <c r="C54" s="7" t="s">
        <v>1267</v>
      </c>
      <c r="D54" s="147" t="str">
        <f ca="1"/>
        <v>Reference, disposal</v>
      </c>
      <c r="E54">
        <v>54</v>
      </c>
    </row>
    <row r="55" spans="1:8">
      <c r="A55" s="17" t="s">
        <v>351</v>
      </c>
      <c r="B55" s="136" t="s">
        <v>790</v>
      </c>
      <c r="C55" s="7" t="s">
        <v>1217</v>
      </c>
      <c r="D55" s="147" t="str">
        <f ca="1"/>
        <v>Total use of biogas, gross</v>
      </c>
      <c r="E55">
        <v>55</v>
      </c>
    </row>
    <row r="56" spans="1:8">
      <c r="A56" s="17" t="s">
        <v>286</v>
      </c>
      <c r="B56" s="126" t="s">
        <v>481</v>
      </c>
      <c r="C56" s="7" t="s">
        <v>1268</v>
      </c>
      <c r="D56" s="147" t="str">
        <f ca="1"/>
        <v>naturemade certification value</v>
      </c>
      <c r="E56">
        <v>56</v>
      </c>
    </row>
    <row r="57" spans="1:8">
      <c r="A57" s="17" t="s">
        <v>89</v>
      </c>
      <c r="B57" s="127" t="s">
        <v>90</v>
      </c>
      <c r="C57" s="7" t="s">
        <v>1269</v>
      </c>
      <c r="D57" s="147" t="str">
        <f ca="1"/>
        <v>Farming</v>
      </c>
      <c r="E57">
        <v>57</v>
      </c>
      <c r="F57" s="18" t="str">
        <f>INDEX(menuesBG!$1:$1048576,$E57,sprache)</f>
        <v>Farming</v>
      </c>
      <c r="H57" t="s">
        <v>929</v>
      </c>
    </row>
    <row r="58" spans="1:8">
      <c r="A58" s="17" t="s">
        <v>115</v>
      </c>
      <c r="B58" s="126" t="s">
        <v>403</v>
      </c>
      <c r="C58" s="7" t="s">
        <v>1270</v>
      </c>
      <c r="D58" s="147" t="str">
        <f ca="1"/>
        <v>Wastewater treatment plant</v>
      </c>
      <c r="E58">
        <v>58</v>
      </c>
      <c r="F58" s="18" t="str">
        <f>INDEX(menuesBG!$1:$1048576,$E58,sprache)</f>
        <v>Wastewater treatment plant</v>
      </c>
      <c r="H58" t="s">
        <v>10</v>
      </c>
    </row>
    <row r="59" spans="1:8">
      <c r="A59" s="281" t="s">
        <v>852</v>
      </c>
      <c r="B59" s="284" t="s">
        <v>858</v>
      </c>
      <c r="C59" s="7" t="s">
        <v>1218</v>
      </c>
      <c r="D59" s="147" t="str">
        <f ca="1"/>
        <v>Green waste and industrial fermentation plants</v>
      </c>
      <c r="E59">
        <v>59</v>
      </c>
      <c r="F59" s="18" t="str">
        <f>INDEX(menuesBG!$1:$1048576,$E59,sprache)</f>
        <v>Green waste and industrial fermentation plants</v>
      </c>
      <c r="H59" t="s">
        <v>930</v>
      </c>
    </row>
    <row r="60" spans="1:8">
      <c r="A60" s="149" t="s">
        <v>725</v>
      </c>
      <c r="B60" s="126" t="s">
        <v>770</v>
      </c>
      <c r="C60" s="7" t="s">
        <v>1271</v>
      </c>
      <c r="D60" s="147" t="str">
        <f ca="1"/>
        <v>Industrial effluents (testing not possible)</v>
      </c>
      <c r="E60">
        <v>60</v>
      </c>
      <c r="F60" s="18" t="str">
        <f>INDEX(menuesBG!$1:$1048576,$E60,sprache)</f>
        <v>Industrial effluents (testing not possible)</v>
      </c>
    </row>
    <row r="61" spans="1:8">
      <c r="A61" s="17" t="s">
        <v>357</v>
      </c>
      <c r="B61" s="131" t="s">
        <v>404</v>
      </c>
      <c r="C61" s="7" t="s">
        <v>1272</v>
      </c>
      <c r="D61" s="147" t="str">
        <f ca="1"/>
        <v>Water consumption</v>
      </c>
      <c r="E61">
        <v>61</v>
      </c>
      <c r="F61" s="18" t="str">
        <f>INDEX(menuesBG!$1:$1048576,$E61,sprache)</f>
        <v>Water consumption</v>
      </c>
    </row>
    <row r="62" spans="1:8">
      <c r="A62" s="17" t="s">
        <v>395</v>
      </c>
      <c r="B62" s="282" t="s">
        <v>771</v>
      </c>
      <c r="C62" s="7" t="s">
        <v>1219</v>
      </c>
      <c r="D62" s="147" t="str">
        <f ca="1"/>
        <v>Total heat sales (after deduction of distribution losses)</v>
      </c>
      <c r="E62">
        <v>62</v>
      </c>
      <c r="F62" s="18" t="str">
        <f>INDEX(menuesBG!$1:$1048576,$E62,sprache)</f>
        <v>Total heat sales (after deduction of distribution losses)</v>
      </c>
    </row>
    <row r="63" spans="1:8">
      <c r="A63" s="17" t="s">
        <v>712</v>
      </c>
      <c r="B63" s="126" t="s">
        <v>486</v>
      </c>
      <c r="C63" s="7" t="s">
        <v>1220</v>
      </c>
      <c r="D63" s="147" t="str">
        <f ca="1"/>
        <v>Reference, direct emissions</v>
      </c>
      <c r="E63">
        <v>63</v>
      </c>
    </row>
    <row r="64" spans="1:8" ht="15">
      <c r="A64" s="149" t="s">
        <v>1777</v>
      </c>
      <c r="B64" s="283" t="s">
        <v>1769</v>
      </c>
      <c r="C64" s="7" t="s">
        <v>1780</v>
      </c>
      <c r="D64" s="147" t="str">
        <f ca="1"/>
        <v>Treatment of digestate</v>
      </c>
      <c r="E64">
        <v>64</v>
      </c>
      <c r="F64" s="744" t="s">
        <v>1777</v>
      </c>
    </row>
    <row r="65" spans="1:7">
      <c r="A65" s="17" t="s">
        <v>170</v>
      </c>
      <c r="B65" s="127" t="s">
        <v>405</v>
      </c>
      <c r="C65" s="7" t="s">
        <v>1221</v>
      </c>
      <c r="D65" s="147" t="str">
        <f ca="1"/>
        <v>No treatment</v>
      </c>
      <c r="E65">
        <v>65</v>
      </c>
      <c r="F65" s="18" t="str">
        <f>INDEX(menuesBG!$1:$1048576,$E65,sprache)</f>
        <v>No treatment</v>
      </c>
    </row>
    <row r="66" spans="1:7">
      <c r="A66" s="17" t="s">
        <v>509</v>
      </c>
      <c r="B66" s="283" t="s">
        <v>818</v>
      </c>
      <c r="C66" s="7" t="s">
        <v>1273</v>
      </c>
      <c r="D66" s="147" t="str">
        <f ca="1"/>
        <v>Open composting, storage, rent or post-rotting</v>
      </c>
      <c r="E66">
        <v>66</v>
      </c>
      <c r="F66" s="18" t="str">
        <f>INDEX(menuesBG!$1:$1048576,$E66,sprache)</f>
        <v>Open composting, storage, rent or post-rotting</v>
      </c>
    </row>
    <row r="67" spans="1:7">
      <c r="A67" s="17" t="s">
        <v>173</v>
      </c>
      <c r="B67" s="127" t="s">
        <v>406</v>
      </c>
      <c r="C67" s="7" t="s">
        <v>1222</v>
      </c>
      <c r="D67" s="147" t="str">
        <f ca="1"/>
        <v>Rotting drum, heated</v>
      </c>
      <c r="E67">
        <v>67</v>
      </c>
      <c r="F67" s="18" t="str">
        <f>INDEX(menuesBG!$1:$1048576,$E67,sprache)</f>
        <v>Rotting drum, heated</v>
      </c>
      <c r="G67" s="27"/>
    </row>
    <row r="68" spans="1:7">
      <c r="A68" s="17" t="s">
        <v>507</v>
      </c>
      <c r="B68" s="131" t="s">
        <v>1613</v>
      </c>
      <c r="C68" s="7" t="s">
        <v>1274</v>
      </c>
      <c r="D68" s="147" t="str">
        <f ca="1"/>
        <v>Closed composting/storage with biofilter</v>
      </c>
      <c r="E68">
        <v>68</v>
      </c>
      <c r="F68" s="18" t="str">
        <f>INDEX(menuesBG!$1:$1048576,$E68,sprache)</f>
        <v>Closed composting/storage with biofilter</v>
      </c>
    </row>
    <row r="69" spans="1:7">
      <c r="A69" s="17" t="s">
        <v>1700</v>
      </c>
      <c r="B69" s="139" t="s">
        <v>1701</v>
      </c>
      <c r="C69" s="7" t="s">
        <v>1702</v>
      </c>
      <c r="D69" s="147" t="str">
        <f ca="1"/>
        <v>Dewatering, digested sludge 27% DM</v>
      </c>
      <c r="E69">
        <v>69</v>
      </c>
      <c r="F69" s="18" t="str">
        <f>INDEX(menuesBG!$1:$1048576,$E69,sprache)</f>
        <v>Dewatering, digested sludge 27% DM</v>
      </c>
    </row>
    <row r="70" spans="1:7">
      <c r="A70" s="149" t="s">
        <v>1778</v>
      </c>
      <c r="B70" s="283" t="s">
        <v>1614</v>
      </c>
      <c r="C70" s="7" t="s">
        <v>1779</v>
      </c>
      <c r="D70" s="147" t="str">
        <f ca="1"/>
        <v>Treatment of liquid digestate</v>
      </c>
      <c r="E70">
        <v>70</v>
      </c>
      <c r="F70" t="s">
        <v>1778</v>
      </c>
    </row>
    <row r="71" spans="1:7">
      <c r="A71" s="17" t="s">
        <v>1770</v>
      </c>
      <c r="B71" s="283" t="s">
        <v>819</v>
      </c>
      <c r="C71" s="7" t="s">
        <v>1223</v>
      </c>
      <c r="D71" s="147" t="str">
        <f ca="1"/>
        <v>Open digestate storage/post-fermentation</v>
      </c>
      <c r="E71">
        <v>71</v>
      </c>
      <c r="F71" s="18" t="str">
        <f>INDEX(menuesBG!$1:$1048576,$E71,sprache)</f>
        <v>Open digestate storage/post-fermentation</v>
      </c>
    </row>
    <row r="72" spans="1:7" ht="25.5">
      <c r="A72" s="149" t="s">
        <v>1771</v>
      </c>
      <c r="B72" s="283" t="s">
        <v>820</v>
      </c>
      <c r="C72" s="7" t="s">
        <v>1224</v>
      </c>
      <c r="D72" s="147" t="str">
        <f ca="1"/>
        <v>Closed digestate storage/post-fermentation with gas utilization</v>
      </c>
      <c r="E72">
        <v>72</v>
      </c>
      <c r="F72" s="18" t="str">
        <f>INDEX(menuesBG!$1:$1048576,$E72,sprache)</f>
        <v>Closed digestate storage/post-fermentation with gas utilization</v>
      </c>
    </row>
    <row r="73" spans="1:7">
      <c r="A73" s="17" t="s">
        <v>238</v>
      </c>
      <c r="B73" s="283" t="s">
        <v>821</v>
      </c>
      <c r="C73" s="7" t="s">
        <v>1225</v>
      </c>
      <c r="D73" s="147" t="str">
        <f ca="1"/>
        <v>Nutrient preparation (ultrafiltration/reverse osmosis)</v>
      </c>
      <c r="E73">
        <v>73</v>
      </c>
      <c r="F73" s="18" t="str">
        <f>INDEX(menuesBG!$1:$1048576,$E73,sprache)</f>
        <v>Nutrient preparation (ultrafiltration/reverse osmosis)</v>
      </c>
    </row>
    <row r="74" spans="1:7">
      <c r="A74" s="149" t="s">
        <v>1772</v>
      </c>
      <c r="B74" s="283" t="s">
        <v>1615</v>
      </c>
      <c r="C74" s="7" t="s">
        <v>1775</v>
      </c>
      <c r="D74" s="147" t="str">
        <f ca="1"/>
        <v>Use of liquid digestate</v>
      </c>
      <c r="E74">
        <v>74</v>
      </c>
    </row>
    <row r="75" spans="1:7">
      <c r="A75" s="17" t="s">
        <v>117</v>
      </c>
      <c r="B75" s="127" t="s">
        <v>490</v>
      </c>
      <c r="C75" s="7" t="s">
        <v>1226</v>
      </c>
      <c r="D75" s="147" t="str">
        <f ca="1"/>
        <v>Agriculture, liquid manure barrel</v>
      </c>
      <c r="E75">
        <v>75</v>
      </c>
      <c r="F75" s="18" t="str">
        <f>INDEX(menuesBG!$1:$1048576,$E75,sprache)</f>
        <v>Agriculture, liquid manure barrel</v>
      </c>
    </row>
    <row r="76" spans="1:7">
      <c r="A76" s="17" t="s">
        <v>118</v>
      </c>
      <c r="B76" s="283" t="s">
        <v>817</v>
      </c>
      <c r="C76" s="7" t="s">
        <v>1227</v>
      </c>
      <c r="D76" s="147" t="str">
        <f ca="1"/>
        <v>Agriculture, drag hose</v>
      </c>
      <c r="E76">
        <v>76</v>
      </c>
      <c r="F76" s="18" t="str">
        <f>INDEX(menuesBG!$1:$1048576,$E76,sprache)</f>
        <v>Agriculture, drag hose</v>
      </c>
    </row>
    <row r="77" spans="1:7">
      <c r="A77" s="17" t="s">
        <v>281</v>
      </c>
      <c r="B77" s="283" t="s">
        <v>958</v>
      </c>
      <c r="C77" s="7" t="s">
        <v>1228</v>
      </c>
      <c r="D77" s="147" t="str">
        <f ca="1"/>
        <v>Agriculture, Injection, Towing shoe</v>
      </c>
      <c r="E77">
        <v>77</v>
      </c>
      <c r="F77" s="18" t="str">
        <f>INDEX(menuesBG!$1:$1048576,$E77,sprache)</f>
        <v>Agriculture, Injection, Towing shoe</v>
      </c>
    </row>
    <row r="78" spans="1:7">
      <c r="A78" s="17" t="s">
        <v>282</v>
      </c>
      <c r="B78" s="283" t="s">
        <v>809</v>
      </c>
      <c r="C78" s="7" t="s">
        <v>1229</v>
      </c>
      <c r="D78" s="147" t="str">
        <f ca="1"/>
        <v>Agriculture, Injection, Cultan (Vaccination)</v>
      </c>
      <c r="E78">
        <v>78</v>
      </c>
      <c r="F78" s="18" t="str">
        <f>INDEX(menuesBG!$1:$1048576,$E78,sprache)</f>
        <v>Agriculture, Injection, Cultan (Vaccination)</v>
      </c>
    </row>
    <row r="79" spans="1:7">
      <c r="A79" s="17" t="s">
        <v>364</v>
      </c>
      <c r="B79" s="126" t="s">
        <v>407</v>
      </c>
      <c r="C79" s="7" t="s">
        <v>1230</v>
      </c>
      <c r="D79" s="147" t="str">
        <f ca="1"/>
        <v>Sewage treatment plant, recirculation</v>
      </c>
      <c r="E79">
        <v>79</v>
      </c>
      <c r="F79" s="18" t="str">
        <f>INDEX(menuesBG!$1:$1048576,$E79,sprache)</f>
        <v>Sewage treatment plant, recirculation</v>
      </c>
    </row>
    <row r="80" spans="1:7">
      <c r="A80" s="149" t="s">
        <v>947</v>
      </c>
      <c r="B80" s="126" t="s">
        <v>948</v>
      </c>
      <c r="C80" s="7" t="s">
        <v>1231</v>
      </c>
      <c r="D80" s="147" t="str">
        <f ca="1"/>
        <v>Municipal sewage treatment plant</v>
      </c>
      <c r="E80">
        <v>80</v>
      </c>
      <c r="F80" s="18" t="str">
        <f>INDEX(menuesBG!$1:$1048576,$E80,sprache)</f>
        <v>Municipal sewage treatment plant</v>
      </c>
    </row>
    <row r="81" spans="1:10">
      <c r="A81" s="17" t="s">
        <v>384</v>
      </c>
      <c r="B81" s="130" t="s">
        <v>408</v>
      </c>
      <c r="C81" s="7" t="s">
        <v>1232</v>
      </c>
      <c r="D81" s="147" t="str">
        <f ca="1"/>
        <v>Type of combustion</v>
      </c>
      <c r="E81">
        <v>81</v>
      </c>
    </row>
    <row r="82" spans="1:10">
      <c r="A82" s="17" t="s">
        <v>174</v>
      </c>
      <c r="B82" s="130" t="s">
        <v>409</v>
      </c>
      <c r="C82" s="7" t="s">
        <v>1233</v>
      </c>
      <c r="D82" s="147" t="str">
        <f ca="1"/>
        <v>Gas engine (candle ignition)</v>
      </c>
      <c r="E82">
        <v>82</v>
      </c>
      <c r="F82" s="18" t="str">
        <f>INDEX(menuesBG!$1:$1048576,$E82,sprache)</f>
        <v>Gas engine (candle ignition)</v>
      </c>
      <c r="H82" t="s">
        <v>6</v>
      </c>
    </row>
    <row r="83" spans="1:10">
      <c r="A83" s="17" t="s">
        <v>86</v>
      </c>
      <c r="B83" s="130" t="s">
        <v>410</v>
      </c>
      <c r="C83" s="7" t="s">
        <v>1275</v>
      </c>
      <c r="D83" s="147" t="str">
        <f ca="1"/>
        <v>Lean-burn engine</v>
      </c>
      <c r="E83">
        <v>83</v>
      </c>
      <c r="F83" s="18" t="str">
        <f>INDEX(menuesBG!$1:$1048576,$E83,sprache)</f>
        <v>Lean-burn engine</v>
      </c>
      <c r="H83" t="s">
        <v>297</v>
      </c>
    </row>
    <row r="84" spans="1:10">
      <c r="A84" s="17" t="s">
        <v>175</v>
      </c>
      <c r="B84" s="130" t="s">
        <v>411</v>
      </c>
      <c r="C84" s="7" t="s">
        <v>1276</v>
      </c>
      <c r="D84" s="147" t="str">
        <f ca="1"/>
        <v>Jet ignition engine</v>
      </c>
      <c r="E84">
        <v>84</v>
      </c>
      <c r="F84" s="18" t="str">
        <f>INDEX(menuesBG!$1:$1048576,$E84,sprache)</f>
        <v>Jet ignition engine</v>
      </c>
      <c r="H84" t="s">
        <v>296</v>
      </c>
    </row>
    <row r="85" spans="1:10">
      <c r="A85" s="17" t="s">
        <v>349</v>
      </c>
      <c r="B85" s="136" t="s">
        <v>959</v>
      </c>
      <c r="C85" s="7" t="s">
        <v>1277</v>
      </c>
      <c r="D85" s="147" t="str">
        <f ca="1"/>
        <v>Microturbine</v>
      </c>
      <c r="E85">
        <v>85</v>
      </c>
      <c r="F85" s="18" t="str">
        <f>INDEX(menuesBG!$1:$1048576,$E85,sprache)</f>
        <v>Microturbine</v>
      </c>
      <c r="H85" t="s">
        <v>366</v>
      </c>
    </row>
    <row r="86" spans="1:10">
      <c r="A86" s="149" t="s">
        <v>1720</v>
      </c>
      <c r="B86" s="283" t="s">
        <v>1722</v>
      </c>
      <c r="C86" s="573" t="s">
        <v>1721</v>
      </c>
      <c r="D86" s="147" t="str">
        <f ca="1"/>
        <v>Furnace, heating</v>
      </c>
      <c r="E86">
        <v>86</v>
      </c>
      <c r="F86" s="18" t="str">
        <f>INDEX(menuesBG!$1:$1048576,$E86,sprache)</f>
        <v>Furnace, heating</v>
      </c>
      <c r="H86" t="s">
        <v>1719</v>
      </c>
    </row>
    <row r="87" spans="1:10">
      <c r="A87" s="149" t="s">
        <v>1729</v>
      </c>
      <c r="B87" s="136" t="s">
        <v>1730</v>
      </c>
      <c r="C87" s="573" t="s">
        <v>1731</v>
      </c>
      <c r="D87" s="147" t="str">
        <f ca="1"/>
        <v>Agriculture, conversion from livestock</v>
      </c>
      <c r="E87">
        <v>87</v>
      </c>
    </row>
    <row r="88" spans="1:10">
      <c r="A88" s="17" t="s">
        <v>713</v>
      </c>
      <c r="B88" s="126" t="s">
        <v>488</v>
      </c>
      <c r="C88" s="7" t="s">
        <v>1600</v>
      </c>
      <c r="D88" s="147" t="str">
        <f ca="1"/>
        <v>Reference, liquid manure storage</v>
      </c>
      <c r="E88">
        <v>88</v>
      </c>
      <c r="G88" s="3"/>
      <c r="H88" s="3"/>
      <c r="I88" s="3"/>
      <c r="J88" s="3"/>
    </row>
    <row r="89" spans="1:10">
      <c r="A89" s="17" t="s">
        <v>714</v>
      </c>
      <c r="B89" s="126" t="s">
        <v>412</v>
      </c>
      <c r="C89" s="7" t="s">
        <v>1234</v>
      </c>
      <c r="D89" s="147" t="str">
        <f ca="1"/>
        <v>Reference, compost</v>
      </c>
      <c r="E89">
        <v>89</v>
      </c>
    </row>
    <row r="90" spans="1:10">
      <c r="A90" s="17" t="s">
        <v>715</v>
      </c>
      <c r="B90" s="126" t="s">
        <v>489</v>
      </c>
      <c r="C90" s="7" t="s">
        <v>1601</v>
      </c>
      <c r="D90" s="147" t="str">
        <f ca="1"/>
        <v>Reference, fresh sewage sludge</v>
      </c>
      <c r="E90">
        <v>90</v>
      </c>
    </row>
    <row r="91" spans="1:10">
      <c r="A91" s="17" t="s">
        <v>274</v>
      </c>
      <c r="B91" s="126" t="s">
        <v>482</v>
      </c>
      <c r="C91" s="7" t="s">
        <v>1602</v>
      </c>
      <c r="D91" s="147" t="str">
        <f ca="1"/>
        <v>Limit value, cold</v>
      </c>
      <c r="E91">
        <v>91</v>
      </c>
    </row>
    <row r="92" spans="1:10">
      <c r="A92" s="17" t="s">
        <v>233</v>
      </c>
      <c r="B92" s="126" t="s">
        <v>413</v>
      </c>
      <c r="C92" s="7" t="s">
        <v>1235</v>
      </c>
      <c r="D92" s="147" t="str">
        <f ca="1"/>
        <v>Percentage of stable housing</v>
      </c>
      <c r="E92">
        <v>92</v>
      </c>
    </row>
    <row r="93" spans="1:10" ht="25.5">
      <c r="A93" s="17" t="s">
        <v>278</v>
      </c>
      <c r="B93" s="136" t="s">
        <v>816</v>
      </c>
      <c r="C93" s="7" t="s">
        <v>1236</v>
      </c>
      <c r="D93" s="147" t="str">
        <f ca="1"/>
        <v>Own energy consumption of the system (observe system limits)</v>
      </c>
      <c r="E93">
        <v>93</v>
      </c>
    </row>
    <row r="94" spans="1:10">
      <c r="A94" s="149" t="s">
        <v>1773</v>
      </c>
      <c r="B94" s="136" t="s">
        <v>1616</v>
      </c>
      <c r="C94" s="7" t="s">
        <v>1776</v>
      </c>
      <c r="D94" s="147" t="str">
        <f ca="1"/>
        <v>Use of solid digestate</v>
      </c>
      <c r="E94">
        <v>94</v>
      </c>
    </row>
    <row r="95" spans="1:10">
      <c r="A95" s="17" t="s">
        <v>279</v>
      </c>
      <c r="B95" s="126" t="s">
        <v>414</v>
      </c>
      <c r="C95" s="7" t="s">
        <v>1237</v>
      </c>
      <c r="D95" s="147" t="str">
        <f ca="1"/>
        <v>Compost, Horticulture</v>
      </c>
      <c r="E95">
        <v>95</v>
      </c>
      <c r="F95" s="18" t="str">
        <f>INDEX(menuesBG!$1:$1048576,$E95,sprache)</f>
        <v>Compost, Horticulture</v>
      </c>
    </row>
    <row r="96" spans="1:10">
      <c r="A96" s="17" t="s">
        <v>280</v>
      </c>
      <c r="B96" s="126" t="s">
        <v>415</v>
      </c>
      <c r="C96" s="7" t="s">
        <v>1603</v>
      </c>
      <c r="D96" s="147" t="str">
        <f ca="1"/>
        <v>Agriculture, dung tetter</v>
      </c>
      <c r="E96">
        <v>96</v>
      </c>
      <c r="F96" s="18" t="str">
        <f>INDEX(menuesBG!$1:$1048576,$E96,sprache)</f>
        <v>Agriculture, dung tetter</v>
      </c>
    </row>
    <row r="97" spans="1:8">
      <c r="A97" s="17" t="s">
        <v>361</v>
      </c>
      <c r="B97" s="136" t="s">
        <v>822</v>
      </c>
      <c r="C97" s="7" t="s">
        <v>1632</v>
      </c>
      <c r="D97" s="147" t="str">
        <f ca="1"/>
        <v>Incineration, cement kiln, 92% DM</v>
      </c>
      <c r="E97">
        <v>97</v>
      </c>
      <c r="F97" s="18" t="str">
        <f>INDEX(menuesBG!$1:$1048576,$E97,sprache)</f>
        <v>Incineration, cement kiln, 92% DM</v>
      </c>
    </row>
    <row r="98" spans="1:8">
      <c r="A98" s="17" t="s">
        <v>1703</v>
      </c>
      <c r="B98" s="126" t="s">
        <v>1704</v>
      </c>
      <c r="C98" s="7" t="s">
        <v>1705</v>
      </c>
      <c r="D98" s="147" t="str">
        <f ca="1"/>
        <v>Combustion, municipal waste incineration, 27% DM</v>
      </c>
      <c r="E98">
        <v>98</v>
      </c>
      <c r="F98" s="18" t="str">
        <f>INDEX(menuesBG!$1:$1048576,$E98,sprache)</f>
        <v>Combustion, municipal waste incineration, 27% DM</v>
      </c>
    </row>
    <row r="99" spans="1:8">
      <c r="A99" s="17" t="s">
        <v>375</v>
      </c>
      <c r="B99" s="126" t="s">
        <v>484</v>
      </c>
      <c r="C99" s="7" t="s">
        <v>1604</v>
      </c>
      <c r="D99" s="147" t="str">
        <f ca="1"/>
        <v>Total production electricity, gross</v>
      </c>
      <c r="E99">
        <v>99</v>
      </c>
    </row>
    <row r="100" spans="1:8" ht="25.5">
      <c r="A100" s="17" t="s">
        <v>374</v>
      </c>
      <c r="B100" s="126" t="s">
        <v>483</v>
      </c>
      <c r="C100" s="7" t="s">
        <v>1605</v>
      </c>
      <c r="D100" s="147" t="str">
        <f ca="1"/>
        <v>Internal consumption of the plant from gross electricity production</v>
      </c>
      <c r="E100">
        <v>100</v>
      </c>
    </row>
    <row r="101" spans="1:8">
      <c r="A101" s="17" t="s">
        <v>360</v>
      </c>
      <c r="B101" s="126" t="s">
        <v>491</v>
      </c>
      <c r="C101" s="7" t="s">
        <v>1238</v>
      </c>
      <c r="D101" s="147" t="str">
        <f ca="1"/>
        <v>Reference, fuel, cement plant</v>
      </c>
      <c r="E101">
        <v>101</v>
      </c>
    </row>
    <row r="102" spans="1:8">
      <c r="A102" s="17" t="s">
        <v>383</v>
      </c>
      <c r="B102" s="126" t="s">
        <v>416</v>
      </c>
      <c r="C102" s="7" t="s">
        <v>1239</v>
      </c>
      <c r="D102" s="147" t="str">
        <f ca="1"/>
        <v>Total quantity of energy products</v>
      </c>
      <c r="E102">
        <v>102</v>
      </c>
    </row>
    <row r="103" spans="1:8">
      <c r="A103" s="149" t="s">
        <v>669</v>
      </c>
      <c r="B103" s="136" t="s">
        <v>954</v>
      </c>
      <c r="C103" s="7" t="s">
        <v>1240</v>
      </c>
      <c r="D103" s="147" t="str">
        <f ca="1"/>
        <v>Nitrogen oxides NOx as NO2 from combustion</v>
      </c>
      <c r="E103">
        <v>103</v>
      </c>
    </row>
    <row r="104" spans="1:8">
      <c r="A104" s="290" t="s">
        <v>565</v>
      </c>
      <c r="B104" s="284" t="s">
        <v>566</v>
      </c>
      <c r="C104" s="7" t="s">
        <v>1241</v>
      </c>
      <c r="D104" s="147" t="str">
        <f ca="1"/>
        <v>Power supply from DE grid</v>
      </c>
      <c r="E104">
        <v>104</v>
      </c>
    </row>
    <row r="105" spans="1:8">
      <c r="A105" s="149" t="s">
        <v>1732</v>
      </c>
      <c r="B105" s="136" t="s">
        <v>1733</v>
      </c>
      <c r="C105" s="573" t="s">
        <v>1734</v>
      </c>
      <c r="E105">
        <v>105</v>
      </c>
    </row>
    <row r="106" spans="1:8">
      <c r="A106" s="149" t="s">
        <v>1621</v>
      </c>
      <c r="B106" s="136" t="s">
        <v>960</v>
      </c>
      <c r="C106" s="7" t="s">
        <v>1606</v>
      </c>
      <c r="E106">
        <v>106</v>
      </c>
    </row>
    <row r="107" spans="1:8">
      <c r="A107" s="149" t="s">
        <v>862</v>
      </c>
      <c r="B107" s="126" t="s">
        <v>868</v>
      </c>
      <c r="C107" s="7" t="s">
        <v>1242</v>
      </c>
      <c r="E107">
        <v>107</v>
      </c>
      <c r="G107" t="e" cm="1">
        <f t="array" ref="G107">INDEX(G108:G114,Standort,1)</f>
        <v>#N/A</v>
      </c>
      <c r="H107" t="e" cm="1">
        <f t="array" ref="H107">INDEX(H108:H114,Standort,1)</f>
        <v>#N/A</v>
      </c>
    </row>
    <row r="108" spans="1:8">
      <c r="A108" s="149" t="s">
        <v>863</v>
      </c>
      <c r="B108" s="126" t="s">
        <v>866</v>
      </c>
      <c r="C108" s="7" t="s">
        <v>1243</v>
      </c>
      <c r="E108">
        <v>108</v>
      </c>
      <c r="F108" s="18" t="str">
        <f>INDEX(menuesBG!$1:$1048576,$E108,sprache)</f>
        <v>Switzerland</v>
      </c>
      <c r="G108" t="s">
        <v>1414</v>
      </c>
      <c r="H108" s="149" t="s">
        <v>1791</v>
      </c>
    </row>
    <row r="109" spans="1:8">
      <c r="A109" s="149" t="s">
        <v>864</v>
      </c>
      <c r="B109" s="126" t="s">
        <v>867</v>
      </c>
      <c r="C109" s="7" t="s">
        <v>1247</v>
      </c>
      <c r="E109">
        <v>109</v>
      </c>
      <c r="F109" s="18" t="str">
        <f>INDEX(menuesBG!$1:$1048576,$E109,sprache)</f>
        <v>Germany</v>
      </c>
      <c r="G109" t="s">
        <v>1473</v>
      </c>
      <c r="H109" s="149" t="s">
        <v>1787</v>
      </c>
    </row>
    <row r="110" spans="1:8">
      <c r="A110" s="149" t="s">
        <v>913</v>
      </c>
      <c r="B110" s="126" t="s">
        <v>949</v>
      </c>
      <c r="C110" s="7" t="s">
        <v>1244</v>
      </c>
      <c r="E110">
        <v>110</v>
      </c>
      <c r="F110" s="18" t="str">
        <f>INDEX(menuesBG!$1:$1048576,$E110,sprache)</f>
        <v>Hungary</v>
      </c>
      <c r="G110" t="s">
        <v>1474</v>
      </c>
      <c r="H110" s="149" t="s">
        <v>1788</v>
      </c>
    </row>
    <row r="111" spans="1:8">
      <c r="A111" s="149" t="s">
        <v>968</v>
      </c>
      <c r="B111" s="149" t="s">
        <v>969</v>
      </c>
      <c r="C111" s="7" t="s">
        <v>1245</v>
      </c>
      <c r="E111">
        <v>111</v>
      </c>
      <c r="F111" s="18" t="str">
        <f>INDEX(menuesBG!$1:$1048576,$E111,sprache)</f>
        <v>Denmark</v>
      </c>
      <c r="G111" t="s">
        <v>1077</v>
      </c>
      <c r="H111" s="149" t="s">
        <v>1789</v>
      </c>
    </row>
    <row r="112" spans="1:8">
      <c r="A112" s="149" t="s">
        <v>1782</v>
      </c>
      <c r="B112" s="149" t="s">
        <v>1783</v>
      </c>
      <c r="C112" s="573" t="s">
        <v>1781</v>
      </c>
      <c r="E112">
        <v>112</v>
      </c>
      <c r="F112" s="18" t="str">
        <f>INDEX(menuesBG!$1:$1048576,$E112,sprache)</f>
        <v>Great Britain</v>
      </c>
      <c r="G112" s="149" t="s">
        <v>2461</v>
      </c>
      <c r="H112" s="149" t="s">
        <v>1790</v>
      </c>
    </row>
    <row r="113" spans="1:8">
      <c r="A113" s="149" t="s">
        <v>2143</v>
      </c>
      <c r="B113" s="149" t="s">
        <v>2146</v>
      </c>
      <c r="C113" s="7" t="s">
        <v>2144</v>
      </c>
      <c r="E113">
        <v>113</v>
      </c>
      <c r="F113" s="18" t="str">
        <f>INDEX(menuesBG!$1:$1048576,$E113,sprache)</f>
        <v>Spain</v>
      </c>
      <c r="G113" s="149" t="s">
        <v>2145</v>
      </c>
      <c r="H113" s="149" t="s">
        <v>1787</v>
      </c>
    </row>
    <row r="114" spans="1:8">
      <c r="A114" s="149" t="s">
        <v>865</v>
      </c>
      <c r="B114" s="149" t="s">
        <v>865</v>
      </c>
      <c r="C114" s="7" t="s">
        <v>865</v>
      </c>
      <c r="E114">
        <v>114</v>
      </c>
    </row>
    <row r="115" spans="1:8" ht="25.5">
      <c r="A115" s="149" t="s">
        <v>940</v>
      </c>
      <c r="B115" s="136" t="s">
        <v>941</v>
      </c>
      <c r="C115" s="7" t="s">
        <v>1246</v>
      </c>
      <c r="E115">
        <v>115</v>
      </c>
    </row>
    <row r="116" spans="1:8" ht="25.5">
      <c r="A116" s="149" t="s">
        <v>1748</v>
      </c>
      <c r="B116" s="136" t="s">
        <v>1749</v>
      </c>
      <c r="C116" s="7" t="s">
        <v>1750</v>
      </c>
      <c r="E116">
        <v>116</v>
      </c>
    </row>
    <row r="117" spans="1:8">
      <c r="A117" s="149" t="s">
        <v>1191</v>
      </c>
      <c r="B117" s="136" t="s">
        <v>1186</v>
      </c>
      <c r="C117" s="573" t="s">
        <v>1607</v>
      </c>
      <c r="E117">
        <v>117</v>
      </c>
    </row>
    <row r="118" spans="1:8">
      <c r="A118" s="149" t="s">
        <v>1595</v>
      </c>
      <c r="B118" s="136" t="s">
        <v>1596</v>
      </c>
      <c r="C118" s="573" t="s">
        <v>1597</v>
      </c>
      <c r="E118">
        <v>118</v>
      </c>
    </row>
    <row r="119" spans="1:8">
      <c r="A119" s="172" t="s">
        <v>299</v>
      </c>
      <c r="B119" s="126" t="s">
        <v>1598</v>
      </c>
      <c r="C119" s="573" t="s">
        <v>1599</v>
      </c>
      <c r="E119">
        <v>119</v>
      </c>
    </row>
    <row r="120" spans="1:8">
      <c r="A120" s="149" t="s">
        <v>1633</v>
      </c>
      <c r="B120" s="126" t="s">
        <v>1635</v>
      </c>
      <c r="C120" s="7" t="s">
        <v>1634</v>
      </c>
      <c r="E120">
        <v>120</v>
      </c>
    </row>
    <row r="121" spans="1:8">
      <c r="A121" s="267" t="s">
        <v>1656</v>
      </c>
      <c r="B121" s="126" t="s">
        <v>1679</v>
      </c>
      <c r="C121" s="573" t="s">
        <v>1678</v>
      </c>
      <c r="E121">
        <v>121</v>
      </c>
    </row>
    <row r="122" spans="1:8">
      <c r="A122" s="149" t="s">
        <v>1710</v>
      </c>
      <c r="B122" s="136" t="s">
        <v>1711</v>
      </c>
      <c r="C122" s="573" t="s">
        <v>1712</v>
      </c>
      <c r="E122">
        <v>122</v>
      </c>
    </row>
    <row r="123" spans="1:8">
      <c r="A123" s="17" t="s">
        <v>1742</v>
      </c>
      <c r="B123" s="127" t="s">
        <v>1743</v>
      </c>
      <c r="C123" s="7" t="s">
        <v>1744</v>
      </c>
      <c r="E123">
        <v>123</v>
      </c>
    </row>
  </sheetData>
  <phoneticPr fontId="0" type="noConversion"/>
  <pageMargins left="0.78740157499999996" right="0.78740157499999996" top="0.984251969" bottom="0.984251969" header="0.4921259845" footer="0.4921259845"/>
  <pageSetup paperSize="9" scale="57"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3399"/>
    <pageSetUpPr fitToPage="1"/>
  </sheetPr>
  <dimension ref="A1:X53"/>
  <sheetViews>
    <sheetView topLeftCell="A19" workbookViewId="0">
      <selection activeCell="E16" sqref="E16"/>
    </sheetView>
  </sheetViews>
  <sheetFormatPr baseColWidth="10" defaultRowHeight="12.75"/>
  <cols>
    <col min="10" max="10" width="14" bestFit="1" customWidth="1"/>
    <col min="12" max="12" width="13.28515625" bestFit="1" customWidth="1"/>
  </cols>
  <sheetData>
    <row r="1" spans="1:24" s="132" customFormat="1">
      <c r="A1" t="s">
        <v>36</v>
      </c>
      <c r="B1"/>
      <c r="C1">
        <v>53</v>
      </c>
      <c r="D1">
        <v>117</v>
      </c>
      <c r="E1">
        <v>52</v>
      </c>
      <c r="F1">
        <v>51</v>
      </c>
      <c r="G1">
        <v>91</v>
      </c>
      <c r="H1">
        <v>88</v>
      </c>
      <c r="I1"/>
      <c r="J1"/>
      <c r="K1">
        <v>54</v>
      </c>
      <c r="L1">
        <v>90</v>
      </c>
      <c r="M1">
        <v>101</v>
      </c>
      <c r="N1">
        <v>121</v>
      </c>
      <c r="O1"/>
      <c r="P1"/>
      <c r="Q1"/>
      <c r="R1"/>
      <c r="S1">
        <v>89</v>
      </c>
      <c r="T1">
        <v>63</v>
      </c>
      <c r="U1"/>
      <c r="V1">
        <v>53</v>
      </c>
      <c r="W1">
        <v>52</v>
      </c>
      <c r="X1">
        <v>51</v>
      </c>
    </row>
    <row r="2" spans="1:24" s="942" customFormat="1" ht="51">
      <c r="A2" s="3"/>
      <c r="B2" s="3"/>
      <c r="C2" s="26" t="str">
        <f>INDEX(menuesBG!$1:$1048576,C1,sprache)</f>
        <v>Limit value, biomethane</v>
      </c>
      <c r="D2" s="26" t="str">
        <f>INDEX(menuesBG!$1:$1048576,D1,sprache)</f>
        <v>Limit value, biogas</v>
      </c>
      <c r="E2" s="26" t="str">
        <f>INDEX(menuesBG!$1:$1048576,E1,sprache)</f>
        <v>Limit value, heat</v>
      </c>
      <c r="F2" s="26" t="str">
        <f>INDEX(menuesBG!$1:$1048576,F1,sprache)</f>
        <v>Limit value, electricity</v>
      </c>
      <c r="G2" s="26" t="str">
        <f>INDEX(menuesBG!$1:$1048576,G1,sprache)</f>
        <v>Limit value, cold</v>
      </c>
      <c r="H2" s="26" t="str">
        <f>INDEX(menuesBG!$1:$1048576,H1,sprache)</f>
        <v>Reference, liquid manure storage</v>
      </c>
      <c r="I2" s="267" t="s">
        <v>1154</v>
      </c>
      <c r="J2" s="267" t="s">
        <v>1155</v>
      </c>
      <c r="K2" s="26" t="str">
        <f>INDEX(menuesBG!$1:$1048576,K1,sprache)</f>
        <v>Reference, disposal</v>
      </c>
      <c r="L2" s="26" t="str">
        <f>INDEX(menuesBG!$1:$1048576,L1,sprache)</f>
        <v>Reference, fresh sewage sludge</v>
      </c>
      <c r="M2" s="26" t="str">
        <f>INDEX(menuesBG!$1:$1048576,M1,sprache)</f>
        <v>Reference, fuel, cement plant</v>
      </c>
      <c r="N2" s="26" t="str">
        <f>INDEX(menuesBG!$1:$1048576,N1,sprache)</f>
        <v>Reference, waste water, paper mill</v>
      </c>
      <c r="O2" s="26"/>
      <c r="P2" s="3"/>
      <c r="Q2" s="3"/>
      <c r="R2" s="3"/>
      <c r="S2" s="26" t="str">
        <f>INDEX(menuesBG!$1:$1048576,S1,sprache)</f>
        <v>Reference, compost</v>
      </c>
      <c r="T2" s="26" t="str">
        <f>INDEX(menuesBG!$1:$1048576,T1,sprache)</f>
        <v>Reference, direct emissions</v>
      </c>
      <c r="U2" s="3"/>
      <c r="V2" s="267">
        <f>INDEX(menuesBM!$1:$1048576,V1,sprache)</f>
        <v>0</v>
      </c>
      <c r="W2" s="267">
        <f>INDEX(menuesBM!$1:$1048576,W1,sprache)</f>
        <v>0</v>
      </c>
      <c r="X2" s="267">
        <f>INDEX(menuesBM!$1:$1048576,X1,sprache)</f>
        <v>0</v>
      </c>
    </row>
    <row r="3" spans="1:24" s="132" customFormat="1">
      <c r="A3" s="1" t="s">
        <v>29</v>
      </c>
      <c r="B3" s="1"/>
      <c r="C3" s="2">
        <v>16</v>
      </c>
      <c r="D3" s="2">
        <v>116</v>
      </c>
      <c r="E3" s="2">
        <v>62</v>
      </c>
      <c r="F3" s="2">
        <v>14</v>
      </c>
      <c r="G3" s="2"/>
      <c r="H3" s="2">
        <v>87</v>
      </c>
      <c r="I3" s="2">
        <v>94</v>
      </c>
      <c r="J3" s="2">
        <v>74</v>
      </c>
      <c r="K3" s="2">
        <v>8</v>
      </c>
      <c r="L3" s="2">
        <v>5</v>
      </c>
      <c r="M3" s="2">
        <v>94</v>
      </c>
      <c r="N3" s="2"/>
      <c r="O3" s="2"/>
      <c r="P3" s="2"/>
      <c r="Q3" s="2"/>
      <c r="R3" s="2"/>
      <c r="S3" s="2"/>
      <c r="T3" s="2"/>
      <c r="U3" s="1"/>
      <c r="V3" s="2"/>
      <c r="W3" s="2">
        <v>62</v>
      </c>
      <c r="X3" s="2">
        <v>14</v>
      </c>
    </row>
    <row r="4" spans="1:24" s="132" customFormat="1">
      <c r="A4" s="1" t="s">
        <v>27</v>
      </c>
      <c r="B4" s="1"/>
      <c r="C4" s="1" cm="1">
        <f t="array" ref="C4">INDEX(MainInput!$1:$1048576,MATCH(C$3,MainInput!$A:$A,0),SpalteEingaben)</f>
        <v>0</v>
      </c>
      <c r="D4" s="1" cm="1">
        <f t="array" ref="D4">INDEX(MainInput!$1:$1048576,MATCH(D$3,MainInput!$A:$A,0),SpalteEingaben)</f>
        <v>0</v>
      </c>
      <c r="E4" s="1" cm="1">
        <f t="array" ref="E4">INDEX(MainInput!$1:$1048576,MATCH(E$3,MainInput!$A:$A,0),SpalteEingaben)</f>
        <v>0</v>
      </c>
      <c r="F4" s="1" cm="1">
        <f t="array" ref="F4">INDEX(MainInput!$1:$1048576,MATCH(F$3,MainInput!$A:$A,0),SpalteEingaben)</f>
        <v>0</v>
      </c>
      <c r="G4" s="1"/>
      <c r="H4" s="1" cm="1">
        <f t="array" ref="H4">INDEX(MainInput!$1:$1048576,MATCH(H$3,MainInput!$A:$A,0),SpalteEingaben)</f>
        <v>0</v>
      </c>
      <c r="I4" s="1">
        <f>GärrestFestMenge</f>
        <v>0</v>
      </c>
      <c r="J4" s="1">
        <f>GärrestFlüssigMenge</f>
        <v>0</v>
      </c>
      <c r="K4" s="14" cm="1">
        <f t="array" ref="K4">INDEX(MainInput!$1:$1048576,MATCH(K$3,MainInput!$A:$A,0),SpalteEingaben)</f>
        <v>0</v>
      </c>
      <c r="L4" s="1"/>
      <c r="M4" s="1"/>
      <c r="N4" s="1"/>
      <c r="O4" s="1"/>
      <c r="P4" s="1"/>
      <c r="Q4" s="1"/>
      <c r="R4" s="1"/>
      <c r="S4" s="1"/>
      <c r="T4" s="1"/>
      <c r="U4" s="1"/>
      <c r="V4" s="1"/>
      <c r="W4" s="1">
        <f>INDEX(PrüfungBM!$1:$1048576,MATCH(W$3,PrüfungBM!$A:$A,0),3)</f>
        <v>0</v>
      </c>
      <c r="X4" s="1">
        <f>INDEX(PrüfungBM!$1:$1048576,MATCH(X$3,PrüfungBM!$A:$A,0),3)</f>
        <v>0</v>
      </c>
    </row>
    <row r="5" spans="1:24" s="132" customFormat="1">
      <c r="A5" s="1" t="s">
        <v>28</v>
      </c>
      <c r="B5" s="1"/>
      <c r="C5" s="1"/>
      <c r="D5" s="1"/>
      <c r="E5" s="1"/>
      <c r="F5" s="1"/>
      <c r="G5" s="1"/>
      <c r="H5" s="1"/>
      <c r="I5" s="1"/>
      <c r="J5" s="1"/>
      <c r="K5" s="1"/>
      <c r="L5" s="14">
        <f>MengeKlärschlamm</f>
        <v>0</v>
      </c>
      <c r="M5" s="1">
        <f>Preis_Entsorgung_fest</f>
        <v>0</v>
      </c>
      <c r="N5" s="1">
        <f>MainInput!H22</f>
        <v>0</v>
      </c>
      <c r="O5" s="1"/>
      <c r="P5" s="1"/>
      <c r="Q5" s="1"/>
      <c r="R5" s="1"/>
      <c r="S5" s="59">
        <f>I4+J4</f>
        <v>0</v>
      </c>
      <c r="T5" s="1"/>
      <c r="U5" s="1"/>
      <c r="V5" s="1"/>
      <c r="W5" s="1">
        <f>INDEX(PrüfungBM!$1:$1048576,MATCH(W$3,PrüfungBM!$A:$A,0),4)</f>
        <v>0</v>
      </c>
      <c r="X5" s="1">
        <f>INDEX(PrüfungBM!$1:$1048576,MATCH(X$3,PrüfungBM!$A:$A,0),4)</f>
        <v>0</v>
      </c>
    </row>
    <row r="6" spans="1:24" s="132" customFormat="1">
      <c r="A6" s="1" t="s">
        <v>344</v>
      </c>
      <c r="B6" s="1"/>
      <c r="C6" s="1"/>
      <c r="D6" s="1"/>
      <c r="E6" s="1"/>
      <c r="F6" s="1"/>
      <c r="G6" s="1"/>
      <c r="H6" s="1"/>
      <c r="I6" s="1"/>
      <c r="J6" s="1"/>
      <c r="K6" s="14">
        <f>Substrates!$F$131</f>
        <v>0</v>
      </c>
      <c r="L6" s="1">
        <f>Substrates!F134</f>
        <v>0</v>
      </c>
      <c r="M6" s="1"/>
      <c r="N6" s="1"/>
      <c r="O6" s="1"/>
      <c r="P6" s="1"/>
      <c r="Q6" s="1"/>
      <c r="R6" s="1"/>
      <c r="S6" s="1"/>
      <c r="T6" s="1"/>
      <c r="U6" s="1"/>
      <c r="V6" s="1"/>
      <c r="W6" s="1">
        <f>INDEX(PrüfungBM!$1:$1048576,MATCH(W$3,PrüfungBM!$A:$A,0),5)</f>
        <v>0</v>
      </c>
      <c r="X6" s="1">
        <f>INDEX(PrüfungBM!$1:$1048576,MATCH(X$3,PrüfungBM!$A:$A,0),5)</f>
        <v>0</v>
      </c>
    </row>
    <row r="7" spans="1:24" s="132" customFormat="1">
      <c r="A7" s="1" t="s">
        <v>345</v>
      </c>
      <c r="B7" s="1"/>
      <c r="C7" s="1"/>
      <c r="D7" s="1"/>
      <c r="E7" s="1"/>
      <c r="F7" s="1"/>
      <c r="G7" s="1"/>
      <c r="H7" s="1"/>
      <c r="I7" s="1"/>
      <c r="J7" s="1"/>
      <c r="K7" s="14">
        <f>Substrates!F132</f>
        <v>0</v>
      </c>
      <c r="L7" s="14">
        <f>LCIAbg!F4</f>
        <v>0</v>
      </c>
      <c r="M7" s="1"/>
      <c r="N7" s="1"/>
      <c r="O7" s="1"/>
      <c r="P7" s="1"/>
      <c r="Q7" s="1"/>
      <c r="R7" s="1"/>
      <c r="S7" s="1"/>
      <c r="T7" s="1"/>
      <c r="U7" s="1"/>
      <c r="V7" s="1"/>
      <c r="W7" s="1">
        <f>INDEX(PrüfungBM!$1:$1048576,MATCH(W$3,PrüfungBM!$A:$A,0),6)</f>
        <v>0</v>
      </c>
      <c r="X7" s="1">
        <f>INDEX(PrüfungBM!$1:$1048576,MATCH(X$3,PrüfungBM!$A:$A,0),6)</f>
        <v>0</v>
      </c>
    </row>
    <row r="8" spans="1:24" s="132" customFormat="1">
      <c r="A8" s="1" t="s">
        <v>26</v>
      </c>
      <c r="B8" s="2"/>
      <c r="C8" s="1">
        <f>C4</f>
        <v>0</v>
      </c>
      <c r="D8" s="1">
        <f>D4</f>
        <v>0</v>
      </c>
      <c r="E8" s="1">
        <f>E4</f>
        <v>0</v>
      </c>
      <c r="F8" s="1">
        <f>F4</f>
        <v>0</v>
      </c>
      <c r="G8" s="1"/>
      <c r="H8" s="12">
        <f>H4*1000</f>
        <v>0</v>
      </c>
      <c r="I8" s="12" t="e">
        <f>IF(Gärgut_fest,I4*1000,0)</f>
        <v>#N/A</v>
      </c>
      <c r="J8" s="12" t="e">
        <f>IF(Auswahl_Verwendung_flüssig&lt;5,1000*J4*J11,0)</f>
        <v>#N/A</v>
      </c>
      <c r="K8" s="14" t="e">
        <f>EinnahmeSubstratEntsorgung/Wechselkurs</f>
        <v>#N/A</v>
      </c>
      <c r="L8" s="14">
        <f>IF(L7&gt;L5,L5,L7)*1000</f>
        <v>0</v>
      </c>
      <c r="M8" s="1" t="e">
        <f>IF(AND(Auswahl_Verwendung_fest=3,MainInput!H89&gt;0),M5*1000,0)</f>
        <v>#N/A</v>
      </c>
      <c r="N8" s="1">
        <f>N5</f>
        <v>0</v>
      </c>
      <c r="O8" s="1"/>
      <c r="P8" s="1"/>
      <c r="Q8" s="1"/>
      <c r="R8" s="1"/>
      <c r="S8" s="59">
        <f>S5</f>
        <v>0</v>
      </c>
      <c r="T8" s="1"/>
      <c r="U8" s="2"/>
      <c r="V8" s="1"/>
      <c r="W8" s="1">
        <f>W4</f>
        <v>0</v>
      </c>
      <c r="X8" s="1">
        <f>X4</f>
        <v>0</v>
      </c>
    </row>
    <row r="9" spans="1:24" s="132" customFormat="1">
      <c r="A9" s="1" t="s">
        <v>275</v>
      </c>
      <c r="B9" s="2"/>
      <c r="C9" s="1"/>
      <c r="D9" s="1"/>
      <c r="E9" s="1"/>
      <c r="F9" s="1"/>
      <c r="G9" s="1"/>
      <c r="H9" s="58"/>
      <c r="I9" s="12"/>
      <c r="J9" s="12"/>
      <c r="K9" s="335" t="s">
        <v>865</v>
      </c>
      <c r="L9" s="1"/>
      <c r="M9" s="1"/>
      <c r="N9" s="1"/>
      <c r="O9" s="1"/>
      <c r="P9" s="1"/>
      <c r="Q9" s="1"/>
      <c r="R9" s="1"/>
      <c r="S9" s="1"/>
      <c r="T9" s="74">
        <f>SUM(Substrates!AM146:AO146)</f>
        <v>0</v>
      </c>
      <c r="U9" s="2"/>
      <c r="V9" s="1"/>
      <c r="W9" s="1"/>
      <c r="X9" s="1"/>
    </row>
    <row r="10" spans="1:24" s="132" customFormat="1">
      <c r="A10" s="1" t="s">
        <v>0</v>
      </c>
      <c r="B10" s="13" t="e">
        <f>SUM(C10:L10)</f>
        <v>#N/A</v>
      </c>
      <c r="C10" s="14">
        <f>C8*C17+C9</f>
        <v>0</v>
      </c>
      <c r="D10" s="14">
        <f>D8*D17+D9</f>
        <v>0</v>
      </c>
      <c r="E10" s="14">
        <f>E8*E17</f>
        <v>0</v>
      </c>
      <c r="F10" s="14">
        <f>F8*F17+F9</f>
        <v>0</v>
      </c>
      <c r="G10" s="14">
        <f>G8*G17+G9</f>
        <v>0</v>
      </c>
      <c r="H10" s="14" t="s">
        <v>865</v>
      </c>
      <c r="I10" s="14" t="e">
        <f>I8*I17+I9</f>
        <v>#N/A</v>
      </c>
      <c r="J10" s="14" t="e">
        <f>J8*J17+J9</f>
        <v>#N/A</v>
      </c>
      <c r="K10" s="14" t="e">
        <f>K8*K17</f>
        <v>#N/A</v>
      </c>
      <c r="L10" s="14">
        <f>L8*L17+L9</f>
        <v>0</v>
      </c>
      <c r="M10" s="14" t="e">
        <f>M8*M17</f>
        <v>#N/A</v>
      </c>
      <c r="N10" s="14">
        <f>N8*S17+N9</f>
        <v>0</v>
      </c>
      <c r="O10" s="14"/>
      <c r="P10" s="1"/>
      <c r="Q10" s="1"/>
      <c r="R10" s="1"/>
      <c r="S10" s="59" t="e">
        <f>I10+J10</f>
        <v>#N/A</v>
      </c>
      <c r="T10" s="74">
        <f>T9</f>
        <v>0</v>
      </c>
      <c r="U10" s="13">
        <f>SUM(V10:X10)</f>
        <v>0</v>
      </c>
      <c r="V10" s="14"/>
      <c r="W10" s="14">
        <f>W8*E17</f>
        <v>0</v>
      </c>
      <c r="X10" s="14">
        <f>X8*F17</f>
        <v>0</v>
      </c>
    </row>
    <row r="11" spans="1:24" s="132" customFormat="1">
      <c r="A11" s="1"/>
      <c r="B11" s="1"/>
      <c r="C11" s="1"/>
      <c r="D11" s="1"/>
      <c r="E11" s="1"/>
      <c r="F11" s="1"/>
      <c r="G11" s="1"/>
      <c r="H11" s="1"/>
      <c r="I11" s="1"/>
      <c r="J11" s="276" t="e">
        <f>K4/(K4+H4)</f>
        <v>#DIV/0!</v>
      </c>
      <c r="K11" s="1"/>
      <c r="L11" s="1"/>
      <c r="M11" s="1"/>
      <c r="N11" s="1"/>
      <c r="O11" s="1"/>
      <c r="P11" s="1"/>
      <c r="Q11" s="1"/>
      <c r="R11" s="1"/>
      <c r="S11" s="1"/>
      <c r="T11" s="1"/>
      <c r="U11" s="1"/>
      <c r="V11" s="1"/>
      <c r="W11" s="1"/>
      <c r="X11" s="1"/>
    </row>
    <row r="12" spans="1:24" s="132" customFormat="1">
      <c r="A12" s="1"/>
      <c r="B12" s="1"/>
      <c r="C12" s="1"/>
      <c r="D12" s="1"/>
      <c r="E12" s="1"/>
      <c r="F12" s="1"/>
      <c r="G12" s="1"/>
      <c r="H12" s="867"/>
      <c r="I12" s="1"/>
      <c r="J12" s="1"/>
      <c r="K12" s="1"/>
      <c r="L12" s="1"/>
      <c r="M12" s="1"/>
      <c r="N12" s="1"/>
      <c r="O12" s="1"/>
      <c r="P12" s="1"/>
      <c r="Q12" s="1"/>
      <c r="R12" s="1"/>
      <c r="S12" s="1"/>
      <c r="T12" s="1"/>
      <c r="U12" s="1"/>
      <c r="V12" s="1"/>
      <c r="W12" s="1"/>
      <c r="X12" s="1"/>
    </row>
    <row r="13" spans="1:24" s="132" customFormat="1">
      <c r="A13" s="387">
        <v>44166</v>
      </c>
      <c r="B13" s="1"/>
      <c r="C13" s="1"/>
      <c r="D13" s="1"/>
      <c r="E13" s="1"/>
      <c r="F13" s="1"/>
      <c r="G13" s="1"/>
      <c r="H13" s="1"/>
      <c r="I13" s="1"/>
      <c r="J13" s="1"/>
      <c r="K13" s="1"/>
      <c r="L13" s="1"/>
      <c r="M13" s="1"/>
      <c r="N13" s="1"/>
      <c r="O13" s="1"/>
      <c r="P13" s="1"/>
      <c r="Q13" s="1"/>
      <c r="R13" s="1"/>
      <c r="S13" s="1"/>
      <c r="T13" s="1"/>
      <c r="U13" s="1"/>
      <c r="V13" s="1"/>
      <c r="W13" s="1"/>
      <c r="X13" s="1"/>
    </row>
    <row r="14" spans="1:24" s="132" customFormat="1">
      <c r="A14" s="279"/>
      <c r="B14" s="1"/>
      <c r="C14" s="1"/>
      <c r="D14" s="1"/>
      <c r="E14" s="1"/>
      <c r="F14" s="1"/>
      <c r="G14" s="1"/>
      <c r="H14" s="1"/>
      <c r="I14" s="1"/>
      <c r="J14" s="1"/>
      <c r="K14" s="1"/>
      <c r="L14" s="1"/>
      <c r="M14" s="1"/>
      <c r="N14" s="1"/>
      <c r="O14" s="1"/>
      <c r="P14" s="1"/>
      <c r="Q14" s="1"/>
      <c r="R14" s="1"/>
      <c r="S14" s="1"/>
      <c r="T14" s="1"/>
      <c r="U14" s="1"/>
      <c r="V14" s="1"/>
      <c r="W14" s="1"/>
      <c r="X14" s="1"/>
    </row>
    <row r="15" spans="1:24" s="132" customFormat="1">
      <c r="A15" t="s">
        <v>523</v>
      </c>
      <c r="B15" t="s">
        <v>919</v>
      </c>
      <c r="C15"/>
      <c r="D15"/>
      <c r="E15"/>
      <c r="F15"/>
      <c r="G15"/>
      <c r="H15"/>
      <c r="I15"/>
      <c r="J15"/>
      <c r="K15"/>
      <c r="L15"/>
      <c r="M15"/>
      <c r="N15"/>
      <c r="O15"/>
      <c r="P15"/>
      <c r="Q15"/>
      <c r="R15"/>
      <c r="S15"/>
      <c r="T15"/>
      <c r="U15"/>
      <c r="V15"/>
      <c r="W15"/>
      <c r="X15"/>
    </row>
    <row r="16" spans="1:24" s="942" customFormat="1" ht="76.5">
      <c r="A16" s="3" t="s">
        <v>537</v>
      </c>
      <c r="B16" s="3" t="s">
        <v>533</v>
      </c>
      <c r="C16" s="3" t="s">
        <v>59</v>
      </c>
      <c r="D16" s="3" t="s">
        <v>59</v>
      </c>
      <c r="E16" s="3" t="s">
        <v>60</v>
      </c>
      <c r="F16" s="3" t="s">
        <v>61</v>
      </c>
      <c r="G16" s="3" t="s">
        <v>62</v>
      </c>
      <c r="H16" s="3" t="s">
        <v>63</v>
      </c>
      <c r="I16" s="3" t="s">
        <v>283</v>
      </c>
      <c r="J16" s="3" t="s">
        <v>284</v>
      </c>
      <c r="K16" s="3" t="s">
        <v>64</v>
      </c>
      <c r="L16" s="3" t="s">
        <v>285</v>
      </c>
      <c r="M16" s="3" t="s">
        <v>362</v>
      </c>
      <c r="N16" s="3" t="s">
        <v>871</v>
      </c>
      <c r="O16" s="3" t="s">
        <v>934</v>
      </c>
      <c r="P16" s="3" t="s">
        <v>977</v>
      </c>
      <c r="Q16" s="3" t="s">
        <v>1786</v>
      </c>
      <c r="R16" s="3" t="s">
        <v>2071</v>
      </c>
      <c r="S16" s="3" t="s">
        <v>1660</v>
      </c>
      <c r="T16" s="3"/>
      <c r="U16"/>
      <c r="V16"/>
      <c r="W16"/>
      <c r="X16"/>
    </row>
    <row r="17" spans="1:24" s="132" customFormat="1">
      <c r="A17" s="1" t="s">
        <v>35</v>
      </c>
      <c r="B17" s="1" t="s">
        <v>2</v>
      </c>
      <c r="C17" s="865" cm="1">
        <f t="array" ref="C17">INDEX(SimaPro!$1:$1048576,SimaProEI99,MATCH(C16,SimaPro!$1:$1,0))</f>
        <v>9.4314771999999998E-3</v>
      </c>
      <c r="D17" s="865" cm="1">
        <f t="array" ref="D17">INDEX(SimaPro!$1:$1048576,SimaProEI99,MATCH(D16,SimaPro!$1:$1,0))</f>
        <v>9.4314771999999998E-3</v>
      </c>
      <c r="E17" s="865" cm="1">
        <f t="array" ref="E17">INDEX(SimaPro!$1:$1048576,SimaProEI99,MATCH(E16,SimaPro!$1:$1,0))</f>
        <v>9.6189563999999998E-3</v>
      </c>
      <c r="F17" s="865" cm="1">
        <f t="array" ref="F17">INDEX(SimaPro!$1:$1048576,SimaProEI99,MATCH(F16,SimaPro!$1:$1,0))</f>
        <v>1.6873467E-2</v>
      </c>
      <c r="G17" s="865" cm="1">
        <f t="array" ref="G17">INDEX(SimaPro!$1:$1048576,SimaProEI99,MATCH(G16,SimaPro!$1:$1,0))</f>
        <v>2.5983502000000002E-3</v>
      </c>
      <c r="H17" s="865" cm="1">
        <f t="array" ref="H17">INDEX(SimaPro!$1:$1048576,SimaProEI99,MATCH(H16,SimaPro!$1:$1,0))</f>
        <v>3.3569795999999999E-6</v>
      </c>
      <c r="I17" s="865" cm="1">
        <f t="array" ref="I17">INDEX(SimaPro!$1:$1048576,SimaProEI99,MATCH(I16,SimaPro!$1:$1,0))</f>
        <v>1.0290385000000001E-3</v>
      </c>
      <c r="J17" s="865" cm="1">
        <f t="array" ref="J17">INDEX(SimaPro!$1:$1048576,SimaProEI99,MATCH(J16,SimaPro!$1:$1,0))</f>
        <v>2.4415176999999997E-4</v>
      </c>
      <c r="K17" s="865" cm="1">
        <f t="array" ref="K17">INDEX(SimaPro!$1:$1048576,SimaProEI99,MATCH(K16,SimaPro!$1:$1,0))</f>
        <v>3.8237027E-2</v>
      </c>
      <c r="L17" s="865" cm="1">
        <f t="array" ref="L17">INDEX(SimaPro!$1:$1048576,SimaProEI99,MATCH(L16,SimaPro!$1:$1,0))</f>
        <v>7.2851484000000001E-3</v>
      </c>
      <c r="M17" s="865" cm="1">
        <f t="array" ref="M17">INDEX(SimaPro!$1:$1048576,SimaProEI99,MATCH(M16,SimaPro!$1:$1,0))</f>
        <v>2.7296597999999998E-2</v>
      </c>
      <c r="N17" s="865" cm="1">
        <f t="array" ref="N17">INDEX(SimaPro!$1:$1048576,SimaProEI99,MATCH(N16,SimaPro!$1:$1,0))</f>
        <v>8.6202727000000008E-6</v>
      </c>
      <c r="O17" s="865" cm="1">
        <f t="array" ref="O17">INDEX(SimaPro!$1:$1048576,SimaProEI99,MATCH(O16,SimaPro!$1:$1,0))</f>
        <v>1.1899127999999999E-5</v>
      </c>
      <c r="P17" s="865" cm="1">
        <f t="array" ref="P17">INDEX(SimaPro!$1:$1048576,SimaProEI99,MATCH(P16,SimaPro!$1:$1,0))</f>
        <v>6.8593750999999998E-6</v>
      </c>
      <c r="Q17" s="865" cm="1">
        <f t="array" ref="Q17">INDEX(SimaPro!$1:$1048576,SimaProEI99,MATCH(Q16,SimaPro!$1:$1,0))</f>
        <v>1.1657858000000001E-5</v>
      </c>
      <c r="R17" s="865" cm="1">
        <f t="array" ref="R17">INDEX(SimaPro!$1:$1048576,SimaProEI99,MATCH(R16,SimaPro!$1:$1,0))</f>
        <v>1.1139473E-5</v>
      </c>
      <c r="S17" s="865" cm="1">
        <f t="array" ref="S17">INDEX(SimaPro!$1:$1048576,SimaProEI99,MATCH(S16,SimaPro!$1:$1,0))</f>
        <v>7.6893820000000002E-2</v>
      </c>
      <c r="T17" s="1"/>
      <c r="U17"/>
      <c r="V17"/>
      <c r="W17"/>
      <c r="X17"/>
    </row>
    <row r="18" spans="1:24" s="132" customFormat="1">
      <c r="A18"/>
      <c r="B18"/>
      <c r="C18"/>
      <c r="D18"/>
      <c r="E18"/>
      <c r="F18"/>
      <c r="G18"/>
      <c r="H18"/>
      <c r="I18"/>
      <c r="J18"/>
      <c r="K18"/>
      <c r="L18"/>
      <c r="M18"/>
      <c r="N18"/>
      <c r="O18"/>
      <c r="P18"/>
      <c r="Q18"/>
      <c r="R18"/>
      <c r="S18"/>
      <c r="T18"/>
      <c r="U18"/>
      <c r="V18"/>
      <c r="W18"/>
      <c r="X18"/>
    </row>
    <row r="19" spans="1:24" s="132" customFormat="1">
      <c r="A19" s="1" t="s">
        <v>522</v>
      </c>
      <c r="B19" s="1" t="s">
        <v>2</v>
      </c>
      <c r="C19" s="922">
        <v>7.7681508E-3</v>
      </c>
      <c r="D19" s="922"/>
      <c r="E19" s="922">
        <v>7.6644577000000002E-3</v>
      </c>
      <c r="F19" s="922">
        <v>1.3690575999999999E-2</v>
      </c>
      <c r="G19" s="922">
        <v>1.3526650000000001E-3</v>
      </c>
      <c r="H19" s="922">
        <v>3.5528622E-6</v>
      </c>
      <c r="I19" s="922">
        <v>8.0076989999999999E-4</v>
      </c>
      <c r="J19" s="922">
        <v>1.8999229999999999E-4</v>
      </c>
      <c r="K19" s="922">
        <v>2.975502E-2</v>
      </c>
      <c r="L19" s="922">
        <v>1.0822236E-3</v>
      </c>
      <c r="M19" s="922">
        <v>2.2402034000000001E-2</v>
      </c>
      <c r="N19" s="922"/>
      <c r="O19" s="922"/>
      <c r="P19" s="922"/>
      <c r="Q19" s="922"/>
      <c r="R19" s="922"/>
      <c r="S19" s="922"/>
      <c r="T19" s="1"/>
      <c r="U19"/>
      <c r="V19"/>
      <c r="W19"/>
      <c r="X19"/>
    </row>
    <row r="20" spans="1:24" s="132" customFormat="1">
      <c r="A20"/>
      <c r="B20" t="s">
        <v>305</v>
      </c>
      <c r="C20" s="922">
        <v>6.1200228000000004E-3</v>
      </c>
      <c r="D20" s="922"/>
      <c r="E20" s="922">
        <v>7.6710557999999998E-3</v>
      </c>
      <c r="F20" s="922">
        <v>1.3702407E-2</v>
      </c>
      <c r="G20" s="922">
        <v>1.4597143999999999E-2</v>
      </c>
      <c r="H20" s="922">
        <v>2.9835284E-6</v>
      </c>
      <c r="I20" s="922">
        <v>3.5413323E-3</v>
      </c>
      <c r="J20" s="922">
        <v>8.4022372000000002E-4</v>
      </c>
      <c r="K20" s="922">
        <v>0.13158887999999999</v>
      </c>
      <c r="L20" s="922">
        <v>2.043376E-3</v>
      </c>
      <c r="M20" s="922"/>
      <c r="N20" s="922"/>
      <c r="O20" s="922"/>
      <c r="P20" s="922"/>
      <c r="Q20" s="922"/>
      <c r="R20" s="922"/>
      <c r="S20" s="922"/>
      <c r="T20"/>
      <c r="U20"/>
      <c r="V20"/>
      <c r="W20"/>
      <c r="X20"/>
    </row>
    <row r="21" spans="1:24" s="132" customFormat="1">
      <c r="A21"/>
      <c r="B21" t="s">
        <v>308</v>
      </c>
      <c r="C21" s="922">
        <v>6.1200228000000004E-3</v>
      </c>
      <c r="D21" s="922"/>
      <c r="E21" s="922">
        <v>7.6710557999999998E-3</v>
      </c>
      <c r="F21" s="922">
        <v>1.3702407E-2</v>
      </c>
      <c r="G21" s="922">
        <v>1.4597143999999999E-2</v>
      </c>
      <c r="H21" s="922">
        <v>2.9835284E-6</v>
      </c>
      <c r="I21" s="922">
        <v>4.8860448999999999E-3</v>
      </c>
      <c r="J21" s="922">
        <v>1.1592729999999999E-3</v>
      </c>
      <c r="K21" s="922">
        <v>0.18155573</v>
      </c>
      <c r="L21" s="922">
        <v>2.043376E-3</v>
      </c>
      <c r="M21" s="922"/>
      <c r="N21" s="922"/>
      <c r="O21" s="922"/>
      <c r="P21" s="922"/>
      <c r="Q21" s="922"/>
      <c r="R21" s="922"/>
      <c r="S21" s="922"/>
      <c r="T21"/>
      <c r="U21"/>
      <c r="V21"/>
      <c r="W21"/>
      <c r="X21"/>
    </row>
    <row r="22" spans="1:24" s="132" customFormat="1">
      <c r="A22"/>
      <c r="B22" t="s">
        <v>306</v>
      </c>
      <c r="C22" s="922">
        <v>6.1200228000000004E-3</v>
      </c>
      <c r="D22" s="922"/>
      <c r="E22" s="922">
        <v>7.6710557999999998E-3</v>
      </c>
      <c r="F22" s="922">
        <v>1.3702407E-2</v>
      </c>
      <c r="G22" s="922">
        <v>1.4597143999999999E-2</v>
      </c>
      <c r="H22" s="922">
        <v>2.9835284E-6</v>
      </c>
      <c r="I22" s="922">
        <v>5.1391583000000001E-3</v>
      </c>
      <c r="J22" s="922">
        <v>1.2193271999999999E-3</v>
      </c>
      <c r="K22" s="922">
        <v>0.19096092000000001</v>
      </c>
      <c r="L22" s="922">
        <v>2.043376E-3</v>
      </c>
      <c r="M22" s="922"/>
      <c r="N22" s="922"/>
      <c r="O22" s="922"/>
      <c r="P22" s="922"/>
      <c r="Q22" s="922"/>
      <c r="R22" s="922"/>
      <c r="S22" s="922"/>
      <c r="T22"/>
      <c r="U22"/>
      <c r="V22"/>
      <c r="W22"/>
      <c r="X22"/>
    </row>
    <row r="23" spans="1:24" s="132" customFormat="1">
      <c r="A23"/>
      <c r="B23" t="s">
        <v>307</v>
      </c>
      <c r="C23" s="922">
        <v>6.1200228000000004E-3</v>
      </c>
      <c r="D23" s="922"/>
      <c r="E23" s="922">
        <v>7.6710557999999998E-3</v>
      </c>
      <c r="F23" s="922">
        <v>1.3702407E-2</v>
      </c>
      <c r="G23" s="922">
        <v>1.4597143999999999E-2</v>
      </c>
      <c r="H23" s="922">
        <v>2.9835284E-6</v>
      </c>
      <c r="I23" s="922">
        <v>1.0390165E-3</v>
      </c>
      <c r="J23" s="922">
        <v>2.4651917999999999E-4</v>
      </c>
      <c r="K23" s="922">
        <v>3.8607792000000002E-2</v>
      </c>
      <c r="L23" s="922">
        <v>1.3170359999999999E-3</v>
      </c>
      <c r="M23" s="922"/>
      <c r="N23" s="922"/>
      <c r="O23" s="922"/>
      <c r="P23" s="922"/>
      <c r="Q23" s="922"/>
      <c r="R23" s="922"/>
      <c r="S23" s="922"/>
      <c r="T23"/>
      <c r="U23"/>
      <c r="V23"/>
      <c r="W23"/>
      <c r="X23"/>
    </row>
    <row r="24" spans="1:24" s="132" customFormat="1">
      <c r="A24"/>
      <c r="B24" t="s">
        <v>343</v>
      </c>
      <c r="C24" s="922">
        <v>6.1200228000000004E-3</v>
      </c>
      <c r="D24" s="922"/>
      <c r="E24" s="922">
        <v>7.6710557999999998E-3</v>
      </c>
      <c r="F24" s="922">
        <v>1.3702407E-2</v>
      </c>
      <c r="G24" s="922">
        <v>1.4597143999999999E-2</v>
      </c>
      <c r="H24" s="922">
        <v>2.9835284E-6</v>
      </c>
      <c r="I24" s="922">
        <v>8.0192356E-4</v>
      </c>
      <c r="J24" s="922">
        <v>1.9026602E-4</v>
      </c>
      <c r="K24" s="922">
        <v>2.9797888000000002E-2</v>
      </c>
      <c r="L24" s="922">
        <v>1.3170359999999999E-3</v>
      </c>
      <c r="M24" s="922"/>
      <c r="N24" s="922"/>
      <c r="O24" s="922"/>
      <c r="P24" s="922"/>
      <c r="Q24" s="922"/>
      <c r="R24" s="922"/>
      <c r="S24" s="922"/>
      <c r="T24"/>
      <c r="U24"/>
      <c r="V24"/>
      <c r="W24"/>
      <c r="X24"/>
    </row>
    <row r="25" spans="1:24" s="132" customFormat="1">
      <c r="A25" s="1" t="s">
        <v>394</v>
      </c>
      <c r="B25" s="1" t="s">
        <v>2</v>
      </c>
      <c r="C25" s="922">
        <v>7.7701769E-3</v>
      </c>
      <c r="D25" s="922"/>
      <c r="E25" s="922">
        <v>7.6701801E-3</v>
      </c>
      <c r="F25" s="922">
        <v>1.3700871999999999E-2</v>
      </c>
      <c r="G25" s="922">
        <v>1.4597143999999999E-2</v>
      </c>
      <c r="H25" s="922">
        <v>2.9678289999999999E-6</v>
      </c>
      <c r="I25" s="922">
        <v>8.0134423999999997E-4</v>
      </c>
      <c r="J25" s="922">
        <v>1.9012856999999999E-4</v>
      </c>
      <c r="K25" s="922">
        <v>2.9776362000000001E-2</v>
      </c>
      <c r="L25" s="922">
        <v>1.3072483999999999E-3</v>
      </c>
      <c r="M25" s="922">
        <v>2.2402669E-2</v>
      </c>
      <c r="N25" s="922"/>
      <c r="O25" s="922"/>
      <c r="P25" s="922"/>
      <c r="Q25" s="922"/>
      <c r="R25" s="922"/>
      <c r="S25" s="922"/>
      <c r="T25" s="1"/>
      <c r="U25"/>
      <c r="V25"/>
      <c r="W25"/>
      <c r="X25"/>
    </row>
    <row r="26" spans="1:24" s="132" customFormat="1">
      <c r="A26" s="1" t="s">
        <v>1</v>
      </c>
      <c r="B26" s="1" t="s">
        <v>2</v>
      </c>
      <c r="C26" s="922">
        <v>7.7701769E-3</v>
      </c>
      <c r="D26" s="922"/>
      <c r="E26" s="922">
        <v>7.6701801E-3</v>
      </c>
      <c r="F26" s="922">
        <v>1.3700871999999999E-2</v>
      </c>
      <c r="G26" s="922">
        <v>1.4597143999999999E-2</v>
      </c>
      <c r="H26" s="922">
        <v>2.9678289999999999E-6</v>
      </c>
      <c r="I26" s="922">
        <v>8.0134423999999997E-4</v>
      </c>
      <c r="J26" s="922">
        <v>1.9012856999999999E-4</v>
      </c>
      <c r="K26" s="922">
        <v>2.9776362000000001E-2</v>
      </c>
      <c r="L26" s="922">
        <v>1.3072483999999999E-3</v>
      </c>
      <c r="M26" s="922">
        <v>2.1942472000000001E-2</v>
      </c>
      <c r="N26" s="922"/>
      <c r="O26" s="922"/>
      <c r="P26" s="922"/>
      <c r="Q26" s="922"/>
      <c r="R26" s="922"/>
      <c r="S26" s="922"/>
      <c r="T26" s="1"/>
      <c r="U26"/>
      <c r="V26"/>
      <c r="W26"/>
      <c r="X26"/>
    </row>
    <row r="27" spans="1:24" s="132" customFormat="1">
      <c r="A27" s="1" t="s">
        <v>534</v>
      </c>
      <c r="B27" s="1" t="s">
        <v>2</v>
      </c>
      <c r="C27" s="922">
        <v>7.7704825000000002E-3</v>
      </c>
      <c r="D27" s="922"/>
      <c r="E27" s="922">
        <v>7.6660623999999997E-3</v>
      </c>
      <c r="F27" s="922">
        <v>1.3693411000000001E-2</v>
      </c>
      <c r="G27" s="922">
        <v>1.3491379999999999E-3</v>
      </c>
      <c r="H27" s="922">
        <v>3.5462809999999999E-6</v>
      </c>
      <c r="I27" s="922">
        <v>7.9772730999999998E-4</v>
      </c>
      <c r="J27" s="922">
        <v>1.8927041E-4</v>
      </c>
      <c r="K27" s="922">
        <v>2.9641963E-2</v>
      </c>
      <c r="L27" s="922">
        <v>1.0808241E-3</v>
      </c>
      <c r="M27" s="922">
        <v>2.2406308999999999E-2</v>
      </c>
      <c r="N27" s="922"/>
      <c r="O27" s="922"/>
      <c r="P27" s="922"/>
      <c r="Q27" s="922"/>
      <c r="R27" s="922"/>
      <c r="S27" s="922"/>
      <c r="T27" s="1"/>
      <c r="U27"/>
      <c r="V27"/>
      <c r="W27"/>
      <c r="X27"/>
    </row>
    <row r="28" spans="1:24" s="132" customFormat="1">
      <c r="A28" s="1" t="s">
        <v>745</v>
      </c>
      <c r="B28" s="1" t="s">
        <v>2</v>
      </c>
      <c r="C28" s="922">
        <v>9.1999999999999998E-3</v>
      </c>
      <c r="D28" s="922"/>
      <c r="E28" s="922">
        <v>9.1000000000000004E-3</v>
      </c>
      <c r="F28" s="922">
        <v>1.6299999999999999E-2</v>
      </c>
      <c r="G28" s="922">
        <v>2.8999999999999998E-3</v>
      </c>
      <c r="H28" s="922">
        <v>0</v>
      </c>
      <c r="I28" s="922">
        <v>1.1000000000000001E-3</v>
      </c>
      <c r="J28" s="922">
        <v>2.9999999999999997E-4</v>
      </c>
      <c r="K28" s="922">
        <v>4.2500000000000003E-2</v>
      </c>
      <c r="L28" s="922">
        <v>1.6000000000000001E-3</v>
      </c>
      <c r="M28" s="922">
        <v>2.6700000000000002E-2</v>
      </c>
      <c r="N28" s="922"/>
      <c r="O28" s="922"/>
      <c r="P28" s="922"/>
      <c r="Q28" s="922"/>
      <c r="R28" s="922"/>
      <c r="S28" s="922"/>
      <c r="T28"/>
      <c r="U28"/>
      <c r="V28"/>
      <c r="W28"/>
      <c r="X28"/>
    </row>
    <row r="29" spans="1:24" s="132" customFormat="1">
      <c r="A29" s="1">
        <v>41395</v>
      </c>
      <c r="B29" s="1" t="s">
        <v>2</v>
      </c>
      <c r="C29" s="922">
        <v>9.1916914000000002E-3</v>
      </c>
      <c r="D29" s="922"/>
      <c r="E29" s="922">
        <v>9.0931287999999992E-3</v>
      </c>
      <c r="F29" s="922">
        <v>1.6304622000000001E-2</v>
      </c>
      <c r="G29" s="922">
        <v>2.9482950000000001E-3</v>
      </c>
      <c r="H29" s="922">
        <v>4.1250127000000002E-6</v>
      </c>
      <c r="I29" s="922">
        <v>1.1432936000000001E-3</v>
      </c>
      <c r="J29" s="922">
        <v>2.7126016000000001E-4</v>
      </c>
      <c r="K29" s="922">
        <v>4.2482519000000003E-2</v>
      </c>
      <c r="L29" s="922">
        <v>1.5592585E-3</v>
      </c>
      <c r="M29" s="922">
        <v>2.6682088999999999E-2</v>
      </c>
      <c r="N29" s="922"/>
      <c r="O29" s="922"/>
      <c r="P29" s="922"/>
      <c r="Q29" s="922"/>
      <c r="R29" s="922"/>
      <c r="S29" s="922"/>
      <c r="T29" s="1"/>
      <c r="U29"/>
      <c r="V29"/>
      <c r="W29"/>
      <c r="X29"/>
    </row>
    <row r="30" spans="1:24" s="132" customFormat="1">
      <c r="A30" s="1" t="s">
        <v>895</v>
      </c>
      <c r="B30" s="1" t="s">
        <v>2</v>
      </c>
      <c r="C30" s="922">
        <v>9.1916914000000002E-3</v>
      </c>
      <c r="D30" s="922"/>
      <c r="E30" s="922">
        <v>9.0931287999999992E-3</v>
      </c>
      <c r="F30" s="922">
        <v>1.6304622000000001E-2</v>
      </c>
      <c r="G30" s="922">
        <v>2.9482950000000001E-3</v>
      </c>
      <c r="H30" s="922">
        <v>4.1250127000000002E-6</v>
      </c>
      <c r="I30" s="922">
        <v>1.1432936000000001E-3</v>
      </c>
      <c r="J30" s="922">
        <v>2.7126016000000001E-4</v>
      </c>
      <c r="K30" s="922">
        <v>4.2482519000000003E-2</v>
      </c>
      <c r="L30" s="922">
        <v>1.5592585E-3</v>
      </c>
      <c r="M30" s="922">
        <v>2.6682088999999999E-2</v>
      </c>
      <c r="N30" s="922">
        <v>9.0822055999999992E-6</v>
      </c>
      <c r="O30" s="922"/>
      <c r="P30" s="922"/>
      <c r="Q30" s="922"/>
      <c r="R30" s="922"/>
      <c r="S30" s="922"/>
      <c r="T30" s="1"/>
      <c r="U30"/>
      <c r="V30"/>
      <c r="W30"/>
      <c r="X30"/>
    </row>
    <row r="31" spans="1:24" s="132" customFormat="1">
      <c r="A31" s="1" t="s">
        <v>896</v>
      </c>
      <c r="B31" s="1" t="s">
        <v>2</v>
      </c>
      <c r="C31" s="922">
        <v>8.7638497999999992E-3</v>
      </c>
      <c r="D31" s="922"/>
      <c r="E31" s="922">
        <v>8.7653530999999996E-3</v>
      </c>
      <c r="F31" s="922">
        <v>1.5722705999999999E-2</v>
      </c>
      <c r="G31" s="922">
        <v>2.9462358E-3</v>
      </c>
      <c r="H31" s="922">
        <v>4.1171310999999997E-6</v>
      </c>
      <c r="I31" s="922">
        <v>1.1431474999999999E-3</v>
      </c>
      <c r="J31" s="922">
        <v>2.712255E-4</v>
      </c>
      <c r="K31" s="922">
        <v>4.2477091000000002E-2</v>
      </c>
      <c r="L31" s="922">
        <v>1.5545644E-3</v>
      </c>
      <c r="M31" s="922">
        <v>2.5479175999999999E-2</v>
      </c>
      <c r="N31" s="922">
        <v>8.8627612000000008E-6</v>
      </c>
      <c r="O31" s="922"/>
      <c r="P31" s="922"/>
      <c r="Q31" s="922"/>
      <c r="R31" s="922"/>
      <c r="S31" s="922"/>
      <c r="T31" s="1"/>
      <c r="U31"/>
      <c r="V31"/>
      <c r="W31"/>
      <c r="X31"/>
    </row>
    <row r="32" spans="1:24" s="132" customFormat="1">
      <c r="A32" s="1" t="s">
        <v>935</v>
      </c>
      <c r="B32" s="1" t="s">
        <v>2</v>
      </c>
      <c r="C32" s="922">
        <v>8.7980560999999999E-3</v>
      </c>
      <c r="D32" s="922"/>
      <c r="E32" s="922">
        <v>8.7942945000000008E-3</v>
      </c>
      <c r="F32" s="922">
        <v>1.5774455E-2</v>
      </c>
      <c r="G32" s="922">
        <v>2.7706737000000002E-3</v>
      </c>
      <c r="H32" s="922">
        <v>4.0695881000000004E-6</v>
      </c>
      <c r="I32" s="922">
        <v>1.1439828E-3</v>
      </c>
      <c r="J32" s="922">
        <v>2.7142368999999997E-4</v>
      </c>
      <c r="K32" s="922">
        <v>4.2508128999999999E-2</v>
      </c>
      <c r="L32" s="922">
        <v>1.5547401E-3</v>
      </c>
      <c r="M32" s="922">
        <v>2.5576054000000001E-2</v>
      </c>
      <c r="N32" s="922">
        <v>8.8241292999999999E-6</v>
      </c>
      <c r="O32" s="922"/>
      <c r="P32" s="922">
        <v>1.3739813000000001E-5</v>
      </c>
      <c r="Q32" s="922"/>
      <c r="R32" s="922"/>
      <c r="S32" s="922"/>
      <c r="T32" s="1"/>
      <c r="U32"/>
      <c r="V32"/>
      <c r="W32"/>
      <c r="X32"/>
    </row>
    <row r="33" spans="1:24" s="132" customFormat="1">
      <c r="A33" s="1" t="s">
        <v>971</v>
      </c>
      <c r="B33" s="1" t="s">
        <v>2</v>
      </c>
      <c r="C33" s="922">
        <v>8.7980560999999999E-3</v>
      </c>
      <c r="D33" s="922"/>
      <c r="E33" s="922">
        <v>8.7942945000000008E-3</v>
      </c>
      <c r="F33" s="922">
        <v>1.5774455E-2</v>
      </c>
      <c r="G33" s="922">
        <v>2.7706737000000002E-3</v>
      </c>
      <c r="H33" s="922">
        <v>4.0695881000000004E-6</v>
      </c>
      <c r="I33" s="922">
        <v>1.1439828E-3</v>
      </c>
      <c r="J33" s="922">
        <v>2.7142368999999997E-4</v>
      </c>
      <c r="K33" s="922">
        <v>4.2508128999999999E-2</v>
      </c>
      <c r="L33" s="922">
        <v>1.5547401E-3</v>
      </c>
      <c r="M33" s="922">
        <v>2.5576054000000001E-2</v>
      </c>
      <c r="N33" s="922">
        <v>8.8241292999999999E-6</v>
      </c>
      <c r="O33" s="922"/>
      <c r="P33" s="922">
        <v>1.3739813000000001E-5</v>
      </c>
      <c r="Q33" s="922"/>
      <c r="R33" s="922"/>
      <c r="S33" s="922"/>
      <c r="T33" s="1"/>
      <c r="U33"/>
      <c r="V33"/>
      <c r="W33"/>
      <c r="X33"/>
    </row>
    <row r="34" spans="1:24" s="132" customFormat="1">
      <c r="A34" s="1" t="s">
        <v>978</v>
      </c>
      <c r="B34" s="1" t="s">
        <v>2</v>
      </c>
      <c r="C34" s="922">
        <v>8.7996985999999992E-3</v>
      </c>
      <c r="D34" s="922"/>
      <c r="E34" s="922">
        <v>8.7963208999999997E-3</v>
      </c>
      <c r="F34" s="922">
        <v>1.5784540999999999E-2</v>
      </c>
      <c r="G34" s="922">
        <v>2.6668442999999999E-3</v>
      </c>
      <c r="H34" s="922">
        <v>3.3961265E-6</v>
      </c>
      <c r="I34" s="922">
        <v>1.155028E-3</v>
      </c>
      <c r="J34" s="922">
        <v>2.7404430999999999E-4</v>
      </c>
      <c r="K34" s="922">
        <v>4.2918549E-2</v>
      </c>
      <c r="L34" s="922">
        <v>7.2911117999999997E-3</v>
      </c>
      <c r="M34" s="922">
        <v>2.5576156999999999E-2</v>
      </c>
      <c r="N34" s="922">
        <v>8.8592284999999994E-6</v>
      </c>
      <c r="O34" s="922">
        <v>1.3778991E-5</v>
      </c>
      <c r="P34" s="922">
        <v>8.8432647999999999E-6</v>
      </c>
      <c r="Q34" s="922"/>
      <c r="R34" s="922"/>
      <c r="S34" s="922"/>
      <c r="T34" s="1"/>
      <c r="U34"/>
      <c r="V34"/>
      <c r="W34"/>
      <c r="X34"/>
    </row>
    <row r="35" spans="1:24" s="132" customFormat="1">
      <c r="A35" s="1">
        <v>2.2018</v>
      </c>
      <c r="B35" s="1" t="s">
        <v>2</v>
      </c>
      <c r="C35" s="922">
        <v>8.9018725999999992E-3</v>
      </c>
      <c r="D35" s="922"/>
      <c r="E35" s="922">
        <v>8.8968177000000002E-3</v>
      </c>
      <c r="F35" s="922">
        <v>1.5961840000000001E-2</v>
      </c>
      <c r="G35" s="922">
        <v>2.6604658000000002E-3</v>
      </c>
      <c r="H35" s="922">
        <v>3.3911869000000002E-6</v>
      </c>
      <c r="I35" s="922">
        <v>1.1594736E-3</v>
      </c>
      <c r="J35" s="922">
        <v>2.7509906999999999E-4</v>
      </c>
      <c r="K35" s="922">
        <v>4.3083736999999997E-2</v>
      </c>
      <c r="L35" s="922">
        <v>7.2903109000000002E-3</v>
      </c>
      <c r="M35" s="922">
        <v>2.5863041E-2</v>
      </c>
      <c r="N35" s="922">
        <v>8.8575118000000008E-6</v>
      </c>
      <c r="O35" s="922">
        <v>1.3819506E-5</v>
      </c>
      <c r="P35" s="922">
        <v>8.861009E-6</v>
      </c>
      <c r="Q35" s="922"/>
      <c r="R35" s="922"/>
      <c r="S35" s="922"/>
      <c r="T35" s="1"/>
      <c r="U35"/>
      <c r="V35"/>
      <c r="W35"/>
      <c r="X35"/>
    </row>
    <row r="36" spans="1:24" s="132" customFormat="1">
      <c r="A36" s="1">
        <v>3.2018</v>
      </c>
      <c r="B36" s="1" t="s">
        <v>2</v>
      </c>
      <c r="C36" s="922">
        <v>8.9060675999999995E-3</v>
      </c>
      <c r="D36" s="922"/>
      <c r="E36" s="922">
        <v>8.9022896000000001E-3</v>
      </c>
      <c r="F36" s="922">
        <v>1.5969594E-2</v>
      </c>
      <c r="G36" s="922">
        <v>2.6645326E-3</v>
      </c>
      <c r="H36" s="922">
        <v>3.4170878000000001E-6</v>
      </c>
      <c r="I36" s="922">
        <v>1.1687373000000001E-3</v>
      </c>
      <c r="J36" s="922">
        <v>2.7729700000000003E-4</v>
      </c>
      <c r="K36" s="922">
        <v>4.3427958000000003E-2</v>
      </c>
      <c r="L36" s="922">
        <v>7.3014216999999996E-3</v>
      </c>
      <c r="M36" s="922">
        <v>2.5880538000000002E-2</v>
      </c>
      <c r="N36" s="922">
        <v>8.5648239000000004E-6</v>
      </c>
      <c r="O36" s="922">
        <v>1.1760437E-5</v>
      </c>
      <c r="P36" s="922">
        <v>6.9382870000000004E-6</v>
      </c>
      <c r="Q36" s="922"/>
      <c r="R36" s="922"/>
      <c r="S36" s="922"/>
      <c r="T36" s="1"/>
      <c r="U36"/>
      <c r="V36"/>
      <c r="W36"/>
      <c r="X36"/>
    </row>
    <row r="37" spans="1:24" s="132" customFormat="1">
      <c r="A37" s="1" t="s">
        <v>1672</v>
      </c>
      <c r="B37" s="1" t="s">
        <v>2</v>
      </c>
      <c r="C37" s="922">
        <v>8.9060675999999995E-3</v>
      </c>
      <c r="D37" s="922">
        <v>8.9060675999999995E-3</v>
      </c>
      <c r="E37" s="922">
        <v>8.9022896000000001E-3</v>
      </c>
      <c r="F37" s="922">
        <v>1.5969594E-2</v>
      </c>
      <c r="G37" s="922">
        <v>2.6645326E-3</v>
      </c>
      <c r="H37" s="922">
        <v>3.4170878000000001E-6</v>
      </c>
      <c r="I37" s="922">
        <v>1.1687373000000001E-3</v>
      </c>
      <c r="J37" s="922">
        <v>2.7729700000000003E-4</v>
      </c>
      <c r="K37" s="922">
        <v>4.3427958000000003E-2</v>
      </c>
      <c r="L37" s="922">
        <v>7.3014216999999996E-3</v>
      </c>
      <c r="M37" s="922">
        <v>2.5880538000000002E-2</v>
      </c>
      <c r="N37" s="922">
        <v>8.5648239000000004E-6</v>
      </c>
      <c r="O37" s="922">
        <v>1.1760437E-5</v>
      </c>
      <c r="P37" s="922">
        <v>6.9382870000000004E-6</v>
      </c>
      <c r="Q37" s="922"/>
      <c r="R37" s="922"/>
      <c r="S37" s="922">
        <v>7.3065809999999995E-2</v>
      </c>
      <c r="T37" s="1"/>
      <c r="U37"/>
      <c r="V37"/>
      <c r="W37"/>
      <c r="X37"/>
    </row>
    <row r="38" spans="1:24" s="132" customFormat="1">
      <c r="A38" s="1" t="s">
        <v>1684</v>
      </c>
      <c r="B38" s="1" t="s">
        <v>2</v>
      </c>
      <c r="C38" s="922">
        <v>1.0605094000000001E-2</v>
      </c>
      <c r="D38" s="922">
        <v>1.0605094000000001E-2</v>
      </c>
      <c r="E38" s="922">
        <v>1.0240422000000001E-2</v>
      </c>
      <c r="F38" s="922">
        <v>1.8921729000000002E-2</v>
      </c>
      <c r="G38" s="922">
        <v>2.6485369999999999E-3</v>
      </c>
      <c r="H38" s="922">
        <v>2.9663969999999998E-6</v>
      </c>
      <c r="I38" s="922">
        <v>1.1678617999999999E-3</v>
      </c>
      <c r="J38" s="922">
        <v>2.7708925999999999E-4</v>
      </c>
      <c r="K38" s="922">
        <v>4.3395425000000001E-2</v>
      </c>
      <c r="L38" s="922">
        <v>7.4999156000000004E-3</v>
      </c>
      <c r="M38" s="922">
        <v>3.0654424999999999E-2</v>
      </c>
      <c r="N38" s="922">
        <v>1.0347024E-5</v>
      </c>
      <c r="O38" s="922">
        <v>1.1157588E-5</v>
      </c>
      <c r="P38" s="922">
        <v>7.7666736000000005E-6</v>
      </c>
      <c r="Q38" s="922"/>
      <c r="R38" s="922"/>
      <c r="S38" s="922">
        <v>7.3656097000000004E-2</v>
      </c>
      <c r="T38" s="1"/>
      <c r="U38"/>
      <c r="V38"/>
      <c r="W38"/>
      <c r="X38"/>
    </row>
    <row r="39" spans="1:24" s="132" customFormat="1">
      <c r="A39" s="1" t="s">
        <v>1752</v>
      </c>
      <c r="B39" s="1" t="s">
        <v>2</v>
      </c>
      <c r="C39" s="922">
        <v>9.7112611000000001E-3</v>
      </c>
      <c r="D39" s="922">
        <v>9.7112611000000001E-3</v>
      </c>
      <c r="E39" s="922">
        <v>9.9583503999999996E-3</v>
      </c>
      <c r="F39" s="922">
        <v>1.7368148999999999E-2</v>
      </c>
      <c r="G39" s="922">
        <v>2.6564370000000002E-3</v>
      </c>
      <c r="H39" s="922">
        <v>2.9705497000000001E-6</v>
      </c>
      <c r="I39" s="922">
        <v>1.1822162000000001E-3</v>
      </c>
      <c r="J39" s="922">
        <v>2.8049501999999999E-4</v>
      </c>
      <c r="K39" s="922">
        <v>4.3928806000000001E-2</v>
      </c>
      <c r="L39" s="922">
        <v>7.4713996999999999E-3</v>
      </c>
      <c r="M39" s="922">
        <v>2.8151974999999999E-2</v>
      </c>
      <c r="N39" s="922">
        <v>1.0351177000000001E-5</v>
      </c>
      <c r="O39" s="922">
        <v>1.116174E-5</v>
      </c>
      <c r="P39" s="922">
        <v>7.7708261999999995E-6</v>
      </c>
      <c r="Q39" s="922"/>
      <c r="R39" s="922"/>
      <c r="S39" s="922">
        <v>7.378643E-2</v>
      </c>
      <c r="T39" s="1"/>
      <c r="U39"/>
      <c r="V39"/>
      <c r="W39"/>
      <c r="X39"/>
    </row>
    <row r="40" spans="1:24" s="132" customFormat="1">
      <c r="A40" s="335" t="s">
        <v>1785</v>
      </c>
      <c r="B40" s="1" t="s">
        <v>2</v>
      </c>
      <c r="C40" s="922">
        <v>9.7106178999999994E-3</v>
      </c>
      <c r="D40" s="922">
        <v>9.7106178999999994E-3</v>
      </c>
      <c r="E40" s="922">
        <v>9.9581756000000007E-3</v>
      </c>
      <c r="F40" s="922">
        <v>1.7367028999999999E-2</v>
      </c>
      <c r="G40" s="922">
        <v>2.6564243999999998E-3</v>
      </c>
      <c r="H40" s="922">
        <v>3.4084130999999999E-6</v>
      </c>
      <c r="I40" s="922">
        <v>1.1822375E-3</v>
      </c>
      <c r="J40" s="922">
        <v>2.8050007999999999E-4</v>
      </c>
      <c r="K40" s="922">
        <v>4.3929598E-2</v>
      </c>
      <c r="L40" s="922">
        <v>7.4714024000000004E-3</v>
      </c>
      <c r="M40" s="922">
        <v>2.8150172000000001E-2</v>
      </c>
      <c r="N40" s="922">
        <v>8.6717061E-6</v>
      </c>
      <c r="O40" s="922">
        <v>1.1950561E-5</v>
      </c>
      <c r="P40" s="922">
        <v>6.9108085999999998E-6</v>
      </c>
      <c r="Q40" s="922">
        <v>1.1709292E-5</v>
      </c>
      <c r="R40" s="922"/>
      <c r="S40" s="922">
        <v>7.3781464000000005E-2</v>
      </c>
      <c r="T40" s="1"/>
      <c r="U40"/>
      <c r="V40"/>
      <c r="W40"/>
      <c r="X40"/>
    </row>
    <row r="41" spans="1:24" s="132" customFormat="1">
      <c r="A41" s="335" t="s">
        <v>1962</v>
      </c>
      <c r="B41" s="1" t="s">
        <v>2</v>
      </c>
      <c r="C41" s="922">
        <v>9.7649221999999997E-3</v>
      </c>
      <c r="D41" s="922">
        <v>9.7649221999999997E-3</v>
      </c>
      <c r="E41" s="922">
        <v>9.9793186999999998E-3</v>
      </c>
      <c r="F41" s="922">
        <v>1.7453646999999999E-2</v>
      </c>
      <c r="G41" s="922">
        <v>2.6050548000000001E-3</v>
      </c>
      <c r="H41" s="922">
        <v>3.3614715999999998E-6</v>
      </c>
      <c r="I41" s="922">
        <v>1.0346985999999999E-3</v>
      </c>
      <c r="J41" s="922">
        <v>2.4549469999999999E-4</v>
      </c>
      <c r="K41" s="922">
        <v>3.8447346E-2</v>
      </c>
      <c r="L41" s="922">
        <v>7.3564998999999997E-3</v>
      </c>
      <c r="M41" s="922">
        <v>2.8238277999999999E-2</v>
      </c>
      <c r="N41" s="922">
        <v>8.6247646000000003E-6</v>
      </c>
      <c r="O41" s="922">
        <v>1.190362E-5</v>
      </c>
      <c r="P41" s="922">
        <v>6.8638671000000001E-6</v>
      </c>
      <c r="Q41" s="922">
        <v>1.166235E-5</v>
      </c>
      <c r="R41" s="922"/>
      <c r="S41" s="922">
        <v>7.7317575999999999E-2</v>
      </c>
      <c r="T41" s="1"/>
      <c r="U41"/>
      <c r="V41"/>
      <c r="W41"/>
      <c r="X41"/>
    </row>
    <row r="42" spans="1:24" s="132" customFormat="1">
      <c r="A42" s="335" t="s">
        <v>2073</v>
      </c>
      <c r="B42" s="1" t="s">
        <v>2</v>
      </c>
      <c r="C42" s="922">
        <v>9.4201044000000005E-3</v>
      </c>
      <c r="D42" s="922">
        <v>9.4201044000000005E-3</v>
      </c>
      <c r="E42" s="922">
        <v>9.6111193999999997E-3</v>
      </c>
      <c r="F42" s="922">
        <v>1.6853686999999999E-2</v>
      </c>
      <c r="G42" s="922">
        <v>2.5982611000000002E-3</v>
      </c>
      <c r="H42" s="922">
        <v>3.3569285E-6</v>
      </c>
      <c r="I42" s="922">
        <v>1.0289348000000001E-3</v>
      </c>
      <c r="J42" s="922">
        <v>2.4412718E-4</v>
      </c>
      <c r="K42" s="922">
        <v>3.8233176000000001E-2</v>
      </c>
      <c r="L42" s="922">
        <v>7.2837748000000001E-3</v>
      </c>
      <c r="M42" s="922">
        <v>2.7264535999999999E-2</v>
      </c>
      <c r="N42" s="922">
        <v>8.6202214999999997E-6</v>
      </c>
      <c r="O42" s="922">
        <v>1.1899077E-5</v>
      </c>
      <c r="P42" s="922">
        <v>6.8593240000000004E-6</v>
      </c>
      <c r="Q42" s="922">
        <v>1.1657807E-5</v>
      </c>
      <c r="R42" s="922"/>
      <c r="S42" s="922">
        <v>7.6882413999999996E-2</v>
      </c>
      <c r="T42" s="1"/>
      <c r="U42"/>
      <c r="V42"/>
      <c r="W42"/>
      <c r="X42"/>
    </row>
    <row r="43" spans="1:24" s="132" customFormat="1">
      <c r="A43" s="335" t="s">
        <v>2072</v>
      </c>
      <c r="B43" s="1" t="s">
        <v>2</v>
      </c>
      <c r="C43" s="922">
        <f>C17</f>
        <v>9.4314771999999998E-3</v>
      </c>
      <c r="D43" s="922">
        <f t="shared" ref="D43:P43" si="0">D17</f>
        <v>9.4314771999999998E-3</v>
      </c>
      <c r="E43" s="922">
        <f t="shared" si="0"/>
        <v>9.6189563999999998E-3</v>
      </c>
      <c r="F43" s="922">
        <f t="shared" si="0"/>
        <v>1.6873467E-2</v>
      </c>
      <c r="G43" s="922">
        <f t="shared" si="0"/>
        <v>2.5983502000000002E-3</v>
      </c>
      <c r="H43" s="922">
        <f t="shared" si="0"/>
        <v>3.3569795999999999E-6</v>
      </c>
      <c r="I43" s="922">
        <f t="shared" si="0"/>
        <v>1.0290385000000001E-3</v>
      </c>
      <c r="J43" s="922">
        <f t="shared" si="0"/>
        <v>2.4415176999999997E-4</v>
      </c>
      <c r="K43" s="922">
        <f t="shared" si="0"/>
        <v>3.8237027E-2</v>
      </c>
      <c r="L43" s="922">
        <f t="shared" si="0"/>
        <v>7.2851484000000001E-3</v>
      </c>
      <c r="M43" s="922">
        <f t="shared" si="0"/>
        <v>2.7296597999999998E-2</v>
      </c>
      <c r="N43" s="922">
        <f t="shared" si="0"/>
        <v>8.6202727000000008E-6</v>
      </c>
      <c r="O43" s="922">
        <f t="shared" si="0"/>
        <v>1.1899127999999999E-5</v>
      </c>
      <c r="P43" s="922">
        <f t="shared" si="0"/>
        <v>6.8593750999999998E-6</v>
      </c>
      <c r="Q43" s="922">
        <v>1.1657807E-5</v>
      </c>
      <c r="R43" s="922"/>
      <c r="S43" s="922">
        <v>7.6882413999999996E-2</v>
      </c>
      <c r="T43" s="1"/>
      <c r="U43"/>
      <c r="V43"/>
      <c r="W43"/>
      <c r="X43"/>
    </row>
    <row r="44" spans="1:24" s="132" customFormat="1">
      <c r="A44"/>
      <c r="B44"/>
      <c r="C44"/>
      <c r="D44"/>
      <c r="E44"/>
      <c r="F44"/>
      <c r="G44"/>
      <c r="H44"/>
      <c r="I44"/>
      <c r="J44"/>
      <c r="K44"/>
      <c r="L44"/>
      <c r="M44"/>
      <c r="N44"/>
      <c r="O44"/>
      <c r="P44"/>
      <c r="Q44"/>
      <c r="R44"/>
      <c r="S44"/>
      <c r="T44"/>
      <c r="U44"/>
      <c r="V44"/>
      <c r="W44"/>
      <c r="X44"/>
    </row>
    <row r="45" spans="1:24" s="132" customFormat="1">
      <c r="A45" t="s">
        <v>2142</v>
      </c>
      <c r="B45"/>
      <c r="C45" s="336">
        <f>C43/C41</f>
        <v>0.96585277453618623</v>
      </c>
      <c r="D45" s="336">
        <f t="shared" ref="D45:S45" si="1">D43/D41</f>
        <v>0.96585277453618623</v>
      </c>
      <c r="E45" s="336">
        <f t="shared" si="1"/>
        <v>0.96388908793944017</v>
      </c>
      <c r="F45" s="336">
        <f t="shared" si="1"/>
        <v>0.96675880977769291</v>
      </c>
      <c r="G45" s="336">
        <f t="shared" si="1"/>
        <v>0.99742631133901671</v>
      </c>
      <c r="H45" s="336">
        <f t="shared" si="1"/>
        <v>0.99866368051421295</v>
      </c>
      <c r="I45" s="336">
        <f t="shared" si="1"/>
        <v>0.99452971135749113</v>
      </c>
      <c r="J45" s="336">
        <f t="shared" si="1"/>
        <v>0.99452969860449125</v>
      </c>
      <c r="K45" s="336">
        <f t="shared" si="1"/>
        <v>0.99452968743278147</v>
      </c>
      <c r="L45" s="336">
        <f t="shared" si="1"/>
        <v>0.99030089023721735</v>
      </c>
      <c r="M45" s="336">
        <f t="shared" si="1"/>
        <v>0.9666523574844047</v>
      </c>
      <c r="N45" s="336">
        <f t="shared" si="1"/>
        <v>0.99947918578554606</v>
      </c>
      <c r="O45" s="336">
        <f t="shared" si="1"/>
        <v>0.99962263580322619</v>
      </c>
      <c r="P45" s="336">
        <f t="shared" si="1"/>
        <v>0.99934555842434647</v>
      </c>
      <c r="Q45" s="336">
        <f t="shared" si="1"/>
        <v>0.99961045586867137</v>
      </c>
      <c r="R45" s="336" t="e">
        <f t="shared" si="1"/>
        <v>#DIV/0!</v>
      </c>
      <c r="S45" s="336">
        <f t="shared" si="1"/>
        <v>0.9943717583696623</v>
      </c>
      <c r="T45"/>
      <c r="U45"/>
      <c r="V45"/>
      <c r="W45"/>
      <c r="X45"/>
    </row>
    <row r="46" spans="1:24" s="132" customFormat="1">
      <c r="A46"/>
      <c r="B46"/>
      <c r="C46"/>
      <c r="D46"/>
      <c r="E46"/>
      <c r="F46"/>
      <c r="G46"/>
      <c r="H46"/>
      <c r="I46"/>
      <c r="J46"/>
      <c r="K46"/>
      <c r="L46"/>
      <c r="M46"/>
      <c r="N46"/>
      <c r="O46"/>
      <c r="P46"/>
      <c r="Q46"/>
      <c r="R46"/>
      <c r="S46"/>
      <c r="T46"/>
      <c r="U46"/>
      <c r="V46"/>
      <c r="W46"/>
      <c r="X46"/>
    </row>
    <row r="47" spans="1:24" s="942" customFormat="1">
      <c r="A47" s="3"/>
      <c r="B47" s="3"/>
      <c r="C47" s="3"/>
      <c r="D47" s="3"/>
      <c r="E47" s="3"/>
      <c r="F47" s="3"/>
      <c r="G47" s="3"/>
      <c r="H47" s="3"/>
      <c r="I47" s="3"/>
      <c r="J47" s="3"/>
      <c r="K47" s="3"/>
      <c r="L47" s="3"/>
      <c r="M47" s="3"/>
      <c r="N47" s="3"/>
      <c r="O47" s="3"/>
      <c r="P47" s="3"/>
      <c r="Q47" s="3"/>
      <c r="R47" s="3"/>
      <c r="S47" s="3"/>
      <c r="T47" s="3"/>
      <c r="U47"/>
      <c r="V47"/>
      <c r="W47"/>
      <c r="X47"/>
    </row>
    <row r="48" spans="1:24" s="132" customFormat="1">
      <c r="A48"/>
      <c r="B48"/>
      <c r="C48"/>
      <c r="D48"/>
      <c r="E48"/>
      <c r="F48"/>
      <c r="G48"/>
      <c r="H48"/>
      <c r="I48"/>
      <c r="J48"/>
      <c r="K48"/>
      <c r="L48"/>
      <c r="M48"/>
      <c r="N48"/>
      <c r="O48"/>
      <c r="P48"/>
      <c r="Q48"/>
      <c r="R48"/>
      <c r="S48"/>
      <c r="T48"/>
      <c r="U48"/>
      <c r="V48"/>
      <c r="W48"/>
      <c r="X48"/>
    </row>
    <row r="49" spans="1:24" s="132" customFormat="1">
      <c r="A49"/>
      <c r="B49"/>
      <c r="C49"/>
      <c r="D49"/>
      <c r="E49"/>
      <c r="F49"/>
      <c r="G49"/>
      <c r="H49"/>
      <c r="I49"/>
      <c r="J49"/>
      <c r="K49"/>
      <c r="L49"/>
      <c r="M49"/>
      <c r="N49"/>
      <c r="O49"/>
      <c r="P49"/>
      <c r="Q49"/>
      <c r="R49"/>
      <c r="S49"/>
      <c r="T49"/>
      <c r="U49"/>
      <c r="V49"/>
      <c r="W49"/>
      <c r="X49"/>
    </row>
    <row r="50" spans="1:24" s="132" customFormat="1">
      <c r="A50"/>
      <c r="B50"/>
      <c r="C50"/>
      <c r="D50"/>
      <c r="E50"/>
      <c r="F50"/>
      <c r="G50"/>
      <c r="H50"/>
      <c r="I50"/>
      <c r="J50"/>
      <c r="K50"/>
      <c r="L50"/>
      <c r="M50"/>
      <c r="N50"/>
      <c r="O50"/>
      <c r="P50"/>
      <c r="Q50"/>
      <c r="R50"/>
      <c r="S50"/>
      <c r="T50"/>
      <c r="U50"/>
      <c r="V50"/>
      <c r="W50"/>
      <c r="X50"/>
    </row>
    <row r="51" spans="1:24" s="132" customFormat="1">
      <c r="A51"/>
      <c r="B51"/>
      <c r="C51"/>
      <c r="D51"/>
      <c r="E51"/>
      <c r="F51"/>
      <c r="G51"/>
      <c r="H51"/>
      <c r="I51"/>
      <c r="J51"/>
      <c r="K51"/>
      <c r="L51"/>
      <c r="M51"/>
      <c r="N51"/>
      <c r="O51"/>
      <c r="P51"/>
      <c r="Q51"/>
      <c r="R51"/>
      <c r="S51"/>
      <c r="T51"/>
      <c r="U51"/>
      <c r="V51"/>
      <c r="W51"/>
      <c r="X51"/>
    </row>
    <row r="52" spans="1:24" s="132" customFormat="1">
      <c r="A52"/>
      <c r="B52"/>
      <c r="C52"/>
      <c r="D52"/>
      <c r="E52"/>
      <c r="F52"/>
      <c r="G52"/>
      <c r="H52"/>
      <c r="I52"/>
      <c r="J52"/>
      <c r="K52"/>
      <c r="L52"/>
      <c r="M52"/>
      <c r="N52"/>
      <c r="O52"/>
      <c r="P52"/>
      <c r="Q52"/>
      <c r="R52"/>
      <c r="S52"/>
      <c r="T52"/>
      <c r="U52"/>
      <c r="V52"/>
      <c r="W52"/>
      <c r="X52"/>
    </row>
    <row r="53" spans="1:24" s="132" customFormat="1">
      <c r="A53"/>
      <c r="B53"/>
      <c r="C53"/>
      <c r="D53"/>
      <c r="E53"/>
      <c r="F53"/>
      <c r="G53"/>
      <c r="H53"/>
      <c r="I53"/>
      <c r="J53"/>
      <c r="K53"/>
      <c r="L53"/>
      <c r="M53"/>
      <c r="N53"/>
      <c r="O53"/>
      <c r="P53"/>
      <c r="Q53"/>
      <c r="R53"/>
      <c r="S53"/>
      <c r="T53"/>
      <c r="U53"/>
      <c r="V53"/>
      <c r="W53"/>
      <c r="X53"/>
    </row>
  </sheetData>
  <phoneticPr fontId="0" type="noConversion"/>
  <conditionalFormatting sqref="C45:S45">
    <cfRule type="colorScale" priority="32">
      <colorScale>
        <cfvo type="min"/>
        <cfvo type="percentile" val="50"/>
        <cfvo type="max"/>
        <color rgb="FF63BE7B"/>
        <color rgb="FFFFEB84"/>
        <color rgb="FFF8696B"/>
      </colorScale>
    </cfRule>
  </conditionalFormatting>
  <conditionalFormatting sqref="C19:C43">
    <cfRule type="colorScale" priority="31">
      <colorScale>
        <cfvo type="min"/>
        <cfvo type="percentile" val="50"/>
        <cfvo type="max"/>
        <color rgb="FF63BE7B"/>
        <color rgb="FFFFEB84"/>
        <color rgb="FFF8696B"/>
      </colorScale>
    </cfRule>
  </conditionalFormatting>
  <conditionalFormatting sqref="D37:D43">
    <cfRule type="colorScale" priority="30">
      <colorScale>
        <cfvo type="min"/>
        <cfvo type="percentile" val="50"/>
        <cfvo type="max"/>
        <color rgb="FF63BE7B"/>
        <color rgb="FFFFEB84"/>
        <color rgb="FFF8696B"/>
      </colorScale>
    </cfRule>
  </conditionalFormatting>
  <conditionalFormatting sqref="E19:E43">
    <cfRule type="colorScale" priority="29">
      <colorScale>
        <cfvo type="min"/>
        <cfvo type="percentile" val="50"/>
        <cfvo type="max"/>
        <color rgb="FF63BE7B"/>
        <color rgb="FFFFEB84"/>
        <color rgb="FFF8696B"/>
      </colorScale>
    </cfRule>
  </conditionalFormatting>
  <conditionalFormatting sqref="F19:F43">
    <cfRule type="colorScale" priority="28">
      <colorScale>
        <cfvo type="min"/>
        <cfvo type="percentile" val="50"/>
        <cfvo type="max"/>
        <color rgb="FF63BE7B"/>
        <color rgb="FFFFEB84"/>
        <color rgb="FFF8696B"/>
      </colorScale>
    </cfRule>
  </conditionalFormatting>
  <conditionalFormatting sqref="G19:G43">
    <cfRule type="colorScale" priority="27">
      <colorScale>
        <cfvo type="min"/>
        <cfvo type="percentile" val="50"/>
        <cfvo type="max"/>
        <color rgb="FF63BE7B"/>
        <color rgb="FFFFEB84"/>
        <color rgb="FFF8696B"/>
      </colorScale>
    </cfRule>
  </conditionalFormatting>
  <conditionalFormatting sqref="H19:H41">
    <cfRule type="colorScale" priority="26">
      <colorScale>
        <cfvo type="min"/>
        <cfvo type="percentile" val="50"/>
        <cfvo type="max"/>
        <color rgb="FF63BE7B"/>
        <color rgb="FFFFEB84"/>
        <color rgb="FFF8696B"/>
      </colorScale>
    </cfRule>
  </conditionalFormatting>
  <conditionalFormatting sqref="I19:I43">
    <cfRule type="colorScale" priority="25">
      <colorScale>
        <cfvo type="min"/>
        <cfvo type="percentile" val="50"/>
        <cfvo type="max"/>
        <color rgb="FF63BE7B"/>
        <color rgb="FFFFEB84"/>
        <color rgb="FFF8696B"/>
      </colorScale>
    </cfRule>
  </conditionalFormatting>
  <conditionalFormatting sqref="J19:J43">
    <cfRule type="colorScale" priority="24">
      <colorScale>
        <cfvo type="min"/>
        <cfvo type="percentile" val="50"/>
        <cfvo type="max"/>
        <color rgb="FF63BE7B"/>
        <color rgb="FFFFEB84"/>
        <color rgb="FFF8696B"/>
      </colorScale>
    </cfRule>
  </conditionalFormatting>
  <conditionalFormatting sqref="K19:K43">
    <cfRule type="colorScale" priority="23">
      <colorScale>
        <cfvo type="min"/>
        <cfvo type="percentile" val="50"/>
        <cfvo type="max"/>
        <color rgb="FF63BE7B"/>
        <color rgb="FFFFEB84"/>
        <color rgb="FFF8696B"/>
      </colorScale>
    </cfRule>
  </conditionalFormatting>
  <conditionalFormatting sqref="L19:L43">
    <cfRule type="colorScale" priority="22">
      <colorScale>
        <cfvo type="min"/>
        <cfvo type="percentile" val="50"/>
        <cfvo type="max"/>
        <color rgb="FF63BE7B"/>
        <color rgb="FFFFEB84"/>
        <color rgb="FFF8696B"/>
      </colorScale>
    </cfRule>
  </conditionalFormatting>
  <conditionalFormatting sqref="M19:M43">
    <cfRule type="colorScale" priority="21">
      <colorScale>
        <cfvo type="min"/>
        <cfvo type="percentile" val="50"/>
        <cfvo type="max"/>
        <color rgb="FF63BE7B"/>
        <color rgb="FFFFEB84"/>
        <color rgb="FFF8696B"/>
      </colorScale>
    </cfRule>
  </conditionalFormatting>
  <conditionalFormatting sqref="N30:N43">
    <cfRule type="colorScale" priority="20">
      <colorScale>
        <cfvo type="min"/>
        <cfvo type="percentile" val="50"/>
        <cfvo type="max"/>
        <color rgb="FF63BE7B"/>
        <color rgb="FFFFEB84"/>
        <color rgb="FFF8696B"/>
      </colorScale>
    </cfRule>
  </conditionalFormatting>
  <conditionalFormatting sqref="O34:O43">
    <cfRule type="colorScale" priority="19">
      <colorScale>
        <cfvo type="min"/>
        <cfvo type="percentile" val="50"/>
        <cfvo type="max"/>
        <color rgb="FF63BE7B"/>
        <color rgb="FFFFEB84"/>
        <color rgb="FFF8696B"/>
      </colorScale>
    </cfRule>
  </conditionalFormatting>
  <conditionalFormatting sqref="P32:P43">
    <cfRule type="colorScale" priority="18">
      <colorScale>
        <cfvo type="min"/>
        <cfvo type="percentile" val="50"/>
        <cfvo type="max"/>
        <color rgb="FF63BE7B"/>
        <color rgb="FFFFEB84"/>
        <color rgb="FFF8696B"/>
      </colorScale>
    </cfRule>
  </conditionalFormatting>
  <conditionalFormatting sqref="S37:S43">
    <cfRule type="colorScale" priority="17">
      <colorScale>
        <cfvo type="min"/>
        <cfvo type="percentile" val="50"/>
        <cfvo type="max"/>
        <color rgb="FF63BE7B"/>
        <color rgb="FFFFEB84"/>
        <color rgb="FFF8696B"/>
      </colorScale>
    </cfRule>
  </conditionalFormatting>
  <conditionalFormatting sqref="H12">
    <cfRule type="dataBar" priority="1">
      <dataBar>
        <cfvo type="min"/>
        <cfvo type="max"/>
        <color rgb="FF638EC6"/>
      </dataBar>
      <extLst>
        <ext xmlns:x14="http://schemas.microsoft.com/office/spreadsheetml/2009/9/main" uri="{B025F937-C7B1-47D3-B67F-A62EFF666E3E}">
          <x14:id>{9761035D-F0CA-4E1F-B28A-C2344CB2F48F}</x14:id>
        </ext>
      </extLst>
    </cfRule>
  </conditionalFormatting>
  <printOptions gridLines="1"/>
  <pageMargins left="0.78740157499999996" right="0.78740157499999996" top="0.984251969" bottom="0.984251969" header="0.4921259845" footer="0.4921259845"/>
  <pageSetup paperSize="9" scale="70"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dataBar" id="{9761035D-F0CA-4E1F-B28A-C2344CB2F48F}">
            <x14:dataBar minLength="0" maxLength="100" border="1" negativeBarBorderColorSameAsPositive="0">
              <x14:cfvo type="autoMin"/>
              <x14:cfvo type="autoMax"/>
              <x14:borderColor rgb="FF638EC6"/>
              <x14:negativeFillColor rgb="FFFF0000"/>
              <x14:negativeBorderColor rgb="FFFF0000"/>
              <x14:axisColor rgb="FF000000"/>
            </x14:dataBar>
          </x14:cfRule>
          <xm:sqref>H12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3399"/>
  </sheetPr>
  <dimension ref="A2:Q115"/>
  <sheetViews>
    <sheetView topLeftCell="A91" workbookViewId="0">
      <selection activeCell="D57" sqref="D57"/>
    </sheetView>
  </sheetViews>
  <sheetFormatPr baseColWidth="10" defaultRowHeight="12.75"/>
  <sheetData>
    <row r="2" spans="2:3">
      <c r="B2" t="s">
        <v>570</v>
      </c>
      <c r="C2" t="s">
        <v>915</v>
      </c>
    </row>
    <row r="3" spans="2:3">
      <c r="B3" t="s">
        <v>572</v>
      </c>
      <c r="C3" t="s">
        <v>916</v>
      </c>
    </row>
    <row r="4" spans="2:3">
      <c r="B4" t="s">
        <v>574</v>
      </c>
      <c r="C4" s="149" t="s">
        <v>828</v>
      </c>
    </row>
    <row r="5" spans="2:3">
      <c r="B5" t="s">
        <v>575</v>
      </c>
      <c r="C5" t="s">
        <v>829</v>
      </c>
    </row>
    <row r="6" spans="2:3">
      <c r="B6" t="s">
        <v>576</v>
      </c>
      <c r="C6" t="s">
        <v>1177</v>
      </c>
    </row>
    <row r="7" spans="2:3">
      <c r="B7" t="s">
        <v>577</v>
      </c>
      <c r="C7" t="s">
        <v>830</v>
      </c>
    </row>
    <row r="8" spans="2:3">
      <c r="B8" t="s">
        <v>578</v>
      </c>
      <c r="C8" t="s">
        <v>831</v>
      </c>
    </row>
    <row r="9" spans="2:3">
      <c r="B9" t="s">
        <v>579</v>
      </c>
      <c r="C9" t="s">
        <v>1178</v>
      </c>
    </row>
    <row r="10" spans="2:3">
      <c r="B10" t="s">
        <v>580</v>
      </c>
      <c r="C10" t="s">
        <v>832</v>
      </c>
    </row>
    <row r="11" spans="2:3">
      <c r="B11" t="s">
        <v>581</v>
      </c>
      <c r="C11" t="s">
        <v>1179</v>
      </c>
    </row>
    <row r="12" spans="2:3">
      <c r="B12" t="s">
        <v>582</v>
      </c>
      <c r="C12" t="s">
        <v>833</v>
      </c>
    </row>
    <row r="13" spans="2:3">
      <c r="B13" t="s">
        <v>583</v>
      </c>
      <c r="C13" t="s">
        <v>834</v>
      </c>
    </row>
    <row r="14" spans="2:3">
      <c r="B14" t="s">
        <v>584</v>
      </c>
      <c r="C14" t="s">
        <v>835</v>
      </c>
    </row>
    <row r="15" spans="2:3">
      <c r="B15" t="s">
        <v>585</v>
      </c>
      <c r="C15" t="s">
        <v>836</v>
      </c>
    </row>
    <row r="16" spans="2:3">
      <c r="B16" t="s">
        <v>586</v>
      </c>
      <c r="C16" t="s">
        <v>837</v>
      </c>
    </row>
    <row r="17" spans="1:17">
      <c r="B17" t="s">
        <v>587</v>
      </c>
      <c r="C17" t="s">
        <v>838</v>
      </c>
    </row>
    <row r="18" spans="1:17">
      <c r="B18" t="s">
        <v>918</v>
      </c>
      <c r="C18" t="s">
        <v>919</v>
      </c>
    </row>
    <row r="19" spans="1:17">
      <c r="B19" t="s">
        <v>920</v>
      </c>
      <c r="C19" t="s">
        <v>921</v>
      </c>
    </row>
    <row r="20" spans="1:17">
      <c r="B20" t="s">
        <v>526</v>
      </c>
      <c r="C20" t="s">
        <v>922</v>
      </c>
    </row>
    <row r="21" spans="1:17">
      <c r="B21" t="s">
        <v>923</v>
      </c>
      <c r="C21" t="s">
        <v>673</v>
      </c>
    </row>
    <row r="22" spans="1:17">
      <c r="B22" t="s">
        <v>924</v>
      </c>
      <c r="C22" t="s">
        <v>672</v>
      </c>
    </row>
    <row r="23" spans="1:17">
      <c r="B23" t="s">
        <v>925</v>
      </c>
      <c r="C23" t="s">
        <v>673</v>
      </c>
    </row>
    <row r="24" spans="1:17">
      <c r="B24" t="s">
        <v>531</v>
      </c>
      <c r="C24" t="s">
        <v>672</v>
      </c>
    </row>
    <row r="25" spans="1:17">
      <c r="B25" t="s">
        <v>596</v>
      </c>
      <c r="C25" t="s">
        <v>1180</v>
      </c>
    </row>
    <row r="26" spans="1:17">
      <c r="B26" t="s">
        <v>597</v>
      </c>
      <c r="C26" t="s">
        <v>927</v>
      </c>
    </row>
    <row r="28" spans="1:17">
      <c r="B28" t="s">
        <v>1180</v>
      </c>
      <c r="C28" t="s">
        <v>928</v>
      </c>
      <c r="D28" t="s">
        <v>839</v>
      </c>
      <c r="E28" t="s">
        <v>840</v>
      </c>
      <c r="F28" t="s">
        <v>1181</v>
      </c>
      <c r="G28" t="s">
        <v>841</v>
      </c>
      <c r="H28" t="s">
        <v>842</v>
      </c>
      <c r="I28" t="s">
        <v>1182</v>
      </c>
      <c r="J28" t="s">
        <v>843</v>
      </c>
      <c r="K28" t="s">
        <v>1183</v>
      </c>
      <c r="L28" t="s">
        <v>844</v>
      </c>
      <c r="M28" t="s">
        <v>845</v>
      </c>
      <c r="N28" t="s">
        <v>846</v>
      </c>
      <c r="O28" t="s">
        <v>847</v>
      </c>
      <c r="P28" t="s">
        <v>848</v>
      </c>
      <c r="Q28" t="s">
        <v>849</v>
      </c>
    </row>
    <row r="29" spans="1:17" s="169" customFormat="1">
      <c r="A29" s="169">
        <f>ROW()</f>
        <v>29</v>
      </c>
      <c r="B29" s="169" t="s">
        <v>1</v>
      </c>
      <c r="C29" s="169" t="s">
        <v>2</v>
      </c>
      <c r="D29" s="169">
        <v>6.325704E-2</v>
      </c>
      <c r="E29" s="169">
        <v>6836.1279999999997</v>
      </c>
      <c r="F29" s="169">
        <v>0.17401618999999999</v>
      </c>
      <c r="G29" s="169">
        <v>9.5843999999999999E-3</v>
      </c>
      <c r="H29" s="169">
        <v>1.2048959999999999E-2</v>
      </c>
      <c r="I29" s="169">
        <v>0</v>
      </c>
      <c r="J29" s="169">
        <v>177.5968</v>
      </c>
      <c r="K29" s="169">
        <v>3.1491600000000002</v>
      </c>
      <c r="L29" s="169">
        <v>4.9680543999999998</v>
      </c>
      <c r="M29" s="169">
        <v>5.8419199999999998E-2</v>
      </c>
      <c r="N29" s="169">
        <v>4.4477209999999996</v>
      </c>
      <c r="O29" s="169">
        <v>32.394359000000001</v>
      </c>
      <c r="P29" s="169">
        <v>4.6187680000000002E-2</v>
      </c>
      <c r="Q29" s="169">
        <v>202.06880000000001</v>
      </c>
    </row>
    <row r="30" spans="1:17">
      <c r="B30" t="s">
        <v>850</v>
      </c>
      <c r="C30" t="s">
        <v>2</v>
      </c>
      <c r="D30">
        <v>6.325704E-2</v>
      </c>
      <c r="E30">
        <v>6161.4</v>
      </c>
      <c r="F30">
        <v>0.17401618999999999</v>
      </c>
      <c r="G30">
        <v>9.5843999999999999E-3</v>
      </c>
      <c r="H30">
        <v>1.2048959999999999E-2</v>
      </c>
      <c r="I30">
        <v>0</v>
      </c>
      <c r="J30">
        <v>0</v>
      </c>
      <c r="K30">
        <v>3.1491600000000002</v>
      </c>
      <c r="L30">
        <v>3.8794</v>
      </c>
      <c r="M30">
        <v>5.8419199999999998E-2</v>
      </c>
      <c r="N30">
        <v>4.0482680000000002</v>
      </c>
      <c r="O30">
        <v>32.394359000000001</v>
      </c>
      <c r="P30">
        <v>4.6187680000000002E-2</v>
      </c>
      <c r="Q30">
        <v>0</v>
      </c>
    </row>
    <row r="31" spans="1:17">
      <c r="B31" t="s">
        <v>270</v>
      </c>
      <c r="C31" t="s">
        <v>2</v>
      </c>
      <c r="D31">
        <v>0</v>
      </c>
      <c r="E31">
        <v>674.72799999999995</v>
      </c>
      <c r="F31">
        <v>0</v>
      </c>
      <c r="G31">
        <v>0</v>
      </c>
      <c r="H31">
        <v>0</v>
      </c>
      <c r="I31">
        <v>0</v>
      </c>
      <c r="J31">
        <v>177.5968</v>
      </c>
      <c r="K31">
        <v>0</v>
      </c>
      <c r="L31">
        <v>1.0886544</v>
      </c>
      <c r="M31">
        <v>0</v>
      </c>
      <c r="N31">
        <v>0.39945296000000002</v>
      </c>
      <c r="O31">
        <v>0</v>
      </c>
      <c r="P31">
        <v>0</v>
      </c>
      <c r="Q31">
        <v>202.06880000000001</v>
      </c>
    </row>
    <row r="32" spans="1:17">
      <c r="B32" t="s">
        <v>271</v>
      </c>
      <c r="C32" t="s">
        <v>2</v>
      </c>
      <c r="D32">
        <v>0</v>
      </c>
      <c r="E32">
        <v>0</v>
      </c>
      <c r="F32">
        <v>0</v>
      </c>
      <c r="G32">
        <v>0</v>
      </c>
      <c r="H32">
        <v>0</v>
      </c>
      <c r="I32">
        <v>0</v>
      </c>
      <c r="J32">
        <v>0</v>
      </c>
      <c r="K32">
        <v>0</v>
      </c>
      <c r="L32">
        <v>0</v>
      </c>
      <c r="M32">
        <v>0</v>
      </c>
      <c r="N32">
        <v>0</v>
      </c>
      <c r="O32">
        <v>0</v>
      </c>
      <c r="P32">
        <v>0</v>
      </c>
      <c r="Q32">
        <v>0</v>
      </c>
    </row>
    <row r="34" spans="2:17" s="169" customFormat="1">
      <c r="B34" s="169" t="s">
        <v>35</v>
      </c>
      <c r="C34" s="169" t="s">
        <v>2</v>
      </c>
      <c r="D34" s="169">
        <v>6.325704E-2</v>
      </c>
      <c r="E34" s="169">
        <v>6836.1279999999997</v>
      </c>
      <c r="F34" s="169">
        <v>0.17401618999999999</v>
      </c>
      <c r="G34" s="169">
        <v>9.5843999999999999E-3</v>
      </c>
      <c r="H34" s="169">
        <v>1.2048959999999999E-2</v>
      </c>
      <c r="I34" s="169">
        <v>0</v>
      </c>
      <c r="J34" s="169">
        <v>177.5968</v>
      </c>
      <c r="K34" s="169">
        <v>3.1491600000000002</v>
      </c>
      <c r="L34" s="169">
        <v>4.9680543999999998</v>
      </c>
      <c r="M34" s="169">
        <v>5.8419199999999998E-2</v>
      </c>
      <c r="N34" s="169">
        <v>4.4477209999999996</v>
      </c>
      <c r="O34" s="169">
        <v>32.394359000000001</v>
      </c>
      <c r="P34" s="169">
        <v>4.6187680000000002E-2</v>
      </c>
      <c r="Q34" s="169">
        <v>202.06880000000001</v>
      </c>
    </row>
    <row r="36" spans="2:17">
      <c r="B36" s="351">
        <v>43188</v>
      </c>
    </row>
    <row r="37" spans="2:17">
      <c r="B37" s="169"/>
    </row>
    <row r="38" spans="2:17">
      <c r="B38" t="s">
        <v>570</v>
      </c>
      <c r="C38" t="s">
        <v>915</v>
      </c>
    </row>
    <row r="39" spans="2:17">
      <c r="B39" t="s">
        <v>572</v>
      </c>
      <c r="C39" t="s">
        <v>916</v>
      </c>
    </row>
    <row r="40" spans="2:17">
      <c r="B40" t="s">
        <v>574</v>
      </c>
      <c r="C40" t="s">
        <v>828</v>
      </c>
    </row>
    <row r="41" spans="2:17">
      <c r="B41" t="s">
        <v>575</v>
      </c>
      <c r="C41" t="s">
        <v>829</v>
      </c>
    </row>
    <row r="42" spans="2:17">
      <c r="B42" t="s">
        <v>576</v>
      </c>
      <c r="C42" t="s">
        <v>1177</v>
      </c>
    </row>
    <row r="43" spans="2:17">
      <c r="B43" t="s">
        <v>577</v>
      </c>
      <c r="C43" t="s">
        <v>830</v>
      </c>
    </row>
    <row r="44" spans="2:17">
      <c r="B44" t="s">
        <v>578</v>
      </c>
      <c r="C44" t="s">
        <v>831</v>
      </c>
    </row>
    <row r="45" spans="2:17">
      <c r="B45" t="s">
        <v>579</v>
      </c>
      <c r="C45" t="s">
        <v>1178</v>
      </c>
    </row>
    <row r="46" spans="2:17">
      <c r="B46" t="s">
        <v>580</v>
      </c>
      <c r="C46" t="s">
        <v>832</v>
      </c>
    </row>
    <row r="47" spans="2:17">
      <c r="B47" t="s">
        <v>581</v>
      </c>
      <c r="C47" t="s">
        <v>1179</v>
      </c>
    </row>
    <row r="48" spans="2:17">
      <c r="B48" t="s">
        <v>582</v>
      </c>
      <c r="C48" t="s">
        <v>833</v>
      </c>
    </row>
    <row r="49" spans="1:17">
      <c r="B49" t="s">
        <v>583</v>
      </c>
      <c r="C49" t="s">
        <v>834</v>
      </c>
    </row>
    <row r="50" spans="1:17">
      <c r="B50" t="s">
        <v>584</v>
      </c>
      <c r="C50" t="s">
        <v>835</v>
      </c>
    </row>
    <row r="51" spans="1:17">
      <c r="B51" t="s">
        <v>585</v>
      </c>
      <c r="C51" t="s">
        <v>836</v>
      </c>
    </row>
    <row r="52" spans="1:17">
      <c r="B52" t="s">
        <v>586</v>
      </c>
      <c r="C52" t="s">
        <v>837</v>
      </c>
    </row>
    <row r="53" spans="1:17">
      <c r="B53" t="s">
        <v>587</v>
      </c>
      <c r="C53" t="s">
        <v>838</v>
      </c>
    </row>
    <row r="54" spans="1:17">
      <c r="B54" t="s">
        <v>918</v>
      </c>
      <c r="C54" t="s">
        <v>1156</v>
      </c>
    </row>
    <row r="55" spans="1:17">
      <c r="B55" t="s">
        <v>920</v>
      </c>
      <c r="C55" t="s">
        <v>931</v>
      </c>
    </row>
    <row r="56" spans="1:17">
      <c r="B56" t="s">
        <v>526</v>
      </c>
      <c r="C56" t="s">
        <v>922</v>
      </c>
    </row>
    <row r="57" spans="1:17">
      <c r="B57" t="s">
        <v>924</v>
      </c>
      <c r="C57" t="s">
        <v>672</v>
      </c>
    </row>
    <row r="58" spans="1:17">
      <c r="B58" t="s">
        <v>925</v>
      </c>
      <c r="C58" t="s">
        <v>673</v>
      </c>
    </row>
    <row r="59" spans="1:17">
      <c r="B59" t="s">
        <v>596</v>
      </c>
      <c r="C59" t="s">
        <v>926</v>
      </c>
    </row>
    <row r="60" spans="1:17">
      <c r="B60" t="s">
        <v>597</v>
      </c>
      <c r="C60" t="s">
        <v>927</v>
      </c>
    </row>
    <row r="62" spans="1:17">
      <c r="B62" t="s">
        <v>926</v>
      </c>
      <c r="C62" t="s">
        <v>928</v>
      </c>
      <c r="D62" t="s">
        <v>839</v>
      </c>
      <c r="E62" t="s">
        <v>840</v>
      </c>
      <c r="F62" t="s">
        <v>1181</v>
      </c>
      <c r="G62" t="s">
        <v>841</v>
      </c>
      <c r="H62" t="s">
        <v>842</v>
      </c>
      <c r="I62" t="s">
        <v>1182</v>
      </c>
      <c r="J62" t="s">
        <v>843</v>
      </c>
      <c r="K62" t="s">
        <v>1183</v>
      </c>
      <c r="L62" t="s">
        <v>844</v>
      </c>
      <c r="M62" t="s">
        <v>845</v>
      </c>
      <c r="N62" t="s">
        <v>846</v>
      </c>
      <c r="O62" t="s">
        <v>847</v>
      </c>
      <c r="P62" t="s">
        <v>848</v>
      </c>
      <c r="Q62" t="s">
        <v>849</v>
      </c>
    </row>
    <row r="63" spans="1:17">
      <c r="A63" s="169">
        <f>ROW()</f>
        <v>63</v>
      </c>
      <c r="B63" t="s">
        <v>40</v>
      </c>
      <c r="C63" t="s">
        <v>41</v>
      </c>
      <c r="D63">
        <v>0</v>
      </c>
      <c r="E63">
        <v>0</v>
      </c>
      <c r="F63">
        <v>27.75</v>
      </c>
      <c r="G63">
        <v>1</v>
      </c>
      <c r="H63">
        <v>0</v>
      </c>
      <c r="I63">
        <v>0</v>
      </c>
      <c r="J63">
        <v>0</v>
      </c>
      <c r="K63">
        <v>265</v>
      </c>
      <c r="L63">
        <v>0</v>
      </c>
      <c r="M63">
        <v>0</v>
      </c>
      <c r="N63">
        <v>0</v>
      </c>
      <c r="O63">
        <v>0</v>
      </c>
      <c r="P63">
        <v>0</v>
      </c>
      <c r="Q63">
        <v>0</v>
      </c>
    </row>
    <row r="66" spans="2:3">
      <c r="B66" s="169"/>
    </row>
    <row r="67" spans="2:3">
      <c r="B67" t="s">
        <v>570</v>
      </c>
      <c r="C67" t="s">
        <v>915</v>
      </c>
    </row>
    <row r="68" spans="2:3">
      <c r="B68" t="s">
        <v>572</v>
      </c>
      <c r="C68" t="s">
        <v>916</v>
      </c>
    </row>
    <row r="69" spans="2:3">
      <c r="B69" t="s">
        <v>574</v>
      </c>
      <c r="C69" t="s">
        <v>828</v>
      </c>
    </row>
    <row r="70" spans="2:3">
      <c r="B70" t="s">
        <v>575</v>
      </c>
      <c r="C70" t="s">
        <v>829</v>
      </c>
    </row>
    <row r="71" spans="2:3">
      <c r="B71" t="s">
        <v>576</v>
      </c>
      <c r="C71" t="s">
        <v>1177</v>
      </c>
    </row>
    <row r="72" spans="2:3">
      <c r="B72" t="s">
        <v>577</v>
      </c>
      <c r="C72" t="s">
        <v>830</v>
      </c>
    </row>
    <row r="73" spans="2:3">
      <c r="B73" t="s">
        <v>578</v>
      </c>
      <c r="C73" t="s">
        <v>831</v>
      </c>
    </row>
    <row r="74" spans="2:3">
      <c r="B74" t="s">
        <v>579</v>
      </c>
      <c r="C74" t="s">
        <v>1178</v>
      </c>
    </row>
    <row r="75" spans="2:3">
      <c r="B75" t="s">
        <v>580</v>
      </c>
      <c r="C75" t="s">
        <v>832</v>
      </c>
    </row>
    <row r="76" spans="2:3">
      <c r="B76" t="s">
        <v>581</v>
      </c>
      <c r="C76" t="s">
        <v>1179</v>
      </c>
    </row>
    <row r="77" spans="2:3">
      <c r="B77" t="s">
        <v>582</v>
      </c>
      <c r="C77" t="s">
        <v>833</v>
      </c>
    </row>
    <row r="78" spans="2:3">
      <c r="B78" t="s">
        <v>583</v>
      </c>
      <c r="C78" t="s">
        <v>834</v>
      </c>
    </row>
    <row r="79" spans="2:3">
      <c r="B79" t="s">
        <v>584</v>
      </c>
      <c r="C79" t="s">
        <v>835</v>
      </c>
    </row>
    <row r="80" spans="2:3">
      <c r="B80" t="s">
        <v>585</v>
      </c>
      <c r="C80" t="s">
        <v>836</v>
      </c>
    </row>
    <row r="81" spans="1:17">
      <c r="B81" t="s">
        <v>586</v>
      </c>
      <c r="C81" t="s">
        <v>837</v>
      </c>
    </row>
    <row r="82" spans="1:17">
      <c r="B82" t="s">
        <v>587</v>
      </c>
      <c r="C82" t="s">
        <v>838</v>
      </c>
    </row>
    <row r="83" spans="1:17">
      <c r="B83" t="s">
        <v>918</v>
      </c>
      <c r="C83" t="s">
        <v>1157</v>
      </c>
    </row>
    <row r="84" spans="1:17">
      <c r="B84" t="s">
        <v>920</v>
      </c>
      <c r="C84" t="s">
        <v>921</v>
      </c>
    </row>
    <row r="85" spans="1:17">
      <c r="B85" t="s">
        <v>526</v>
      </c>
      <c r="C85" t="s">
        <v>922</v>
      </c>
    </row>
    <row r="86" spans="1:17">
      <c r="B86" t="s">
        <v>923</v>
      </c>
      <c r="C86" t="s">
        <v>673</v>
      </c>
    </row>
    <row r="87" spans="1:17">
      <c r="B87" t="s">
        <v>924</v>
      </c>
      <c r="C87" t="s">
        <v>672</v>
      </c>
    </row>
    <row r="88" spans="1:17">
      <c r="B88" t="s">
        <v>925</v>
      </c>
      <c r="C88" t="s">
        <v>672</v>
      </c>
    </row>
    <row r="89" spans="1:17">
      <c r="B89" t="s">
        <v>596</v>
      </c>
      <c r="C89" t="s">
        <v>926</v>
      </c>
    </row>
    <row r="90" spans="1:17">
      <c r="B90" t="s">
        <v>597</v>
      </c>
      <c r="C90" t="s">
        <v>927</v>
      </c>
    </row>
    <row r="92" spans="1:17">
      <c r="B92" t="s">
        <v>926</v>
      </c>
      <c r="C92" t="s">
        <v>928</v>
      </c>
      <c r="D92" t="s">
        <v>839</v>
      </c>
      <c r="E92" t="s">
        <v>840</v>
      </c>
      <c r="F92" t="s">
        <v>1181</v>
      </c>
      <c r="G92" t="s">
        <v>841</v>
      </c>
      <c r="H92" t="s">
        <v>842</v>
      </c>
      <c r="I92" t="s">
        <v>1182</v>
      </c>
      <c r="J92" t="s">
        <v>843</v>
      </c>
      <c r="K92" t="s">
        <v>1183</v>
      </c>
      <c r="L92" t="s">
        <v>844</v>
      </c>
      <c r="M92" t="s">
        <v>845</v>
      </c>
      <c r="N92" t="s">
        <v>846</v>
      </c>
      <c r="O92" t="s">
        <v>847</v>
      </c>
      <c r="P92" t="s">
        <v>848</v>
      </c>
      <c r="Q92" t="s">
        <v>849</v>
      </c>
    </row>
    <row r="93" spans="1:17">
      <c r="A93" s="169">
        <f>ROW()</f>
        <v>93</v>
      </c>
      <c r="B93" t="s">
        <v>1</v>
      </c>
      <c r="C93" t="s">
        <v>2</v>
      </c>
      <c r="D93">
        <v>14000</v>
      </c>
      <c r="E93" s="4">
        <v>460000000</v>
      </c>
      <c r="F93">
        <v>12000</v>
      </c>
      <c r="G93">
        <v>460</v>
      </c>
      <c r="H93">
        <v>14000</v>
      </c>
      <c r="I93">
        <v>39000</v>
      </c>
      <c r="J93">
        <v>22000000</v>
      </c>
      <c r="K93">
        <v>140000</v>
      </c>
      <c r="L93">
        <v>67000</v>
      </c>
      <c r="M93">
        <v>14000</v>
      </c>
      <c r="N93">
        <v>39000</v>
      </c>
      <c r="O93">
        <v>140000</v>
      </c>
      <c r="P93">
        <v>14000</v>
      </c>
      <c r="Q93">
        <v>5600000</v>
      </c>
    </row>
    <row r="94" spans="1:17">
      <c r="B94" t="s">
        <v>1158</v>
      </c>
      <c r="C94" t="s">
        <v>2</v>
      </c>
      <c r="D94">
        <v>0</v>
      </c>
      <c r="E94">
        <v>0</v>
      </c>
      <c r="F94">
        <v>0</v>
      </c>
      <c r="G94">
        <v>0</v>
      </c>
      <c r="H94">
        <v>0</v>
      </c>
      <c r="I94">
        <v>0</v>
      </c>
      <c r="J94">
        <v>0</v>
      </c>
      <c r="K94">
        <v>0</v>
      </c>
      <c r="L94">
        <v>0</v>
      </c>
      <c r="M94">
        <v>0</v>
      </c>
      <c r="N94">
        <v>0</v>
      </c>
      <c r="O94">
        <v>0</v>
      </c>
      <c r="P94">
        <v>0</v>
      </c>
      <c r="Q94">
        <v>0</v>
      </c>
    </row>
    <row r="95" spans="1:17">
      <c r="B95" t="s">
        <v>56</v>
      </c>
      <c r="C95" t="s">
        <v>2</v>
      </c>
      <c r="D95">
        <v>0</v>
      </c>
      <c r="E95">
        <v>0</v>
      </c>
      <c r="F95">
        <v>0</v>
      </c>
      <c r="G95">
        <v>0</v>
      </c>
      <c r="H95">
        <v>0</v>
      </c>
      <c r="I95">
        <v>0</v>
      </c>
      <c r="J95">
        <v>0</v>
      </c>
      <c r="K95">
        <v>0</v>
      </c>
      <c r="L95">
        <v>0</v>
      </c>
      <c r="M95">
        <v>0</v>
      </c>
      <c r="N95">
        <v>0</v>
      </c>
      <c r="O95">
        <v>0</v>
      </c>
      <c r="P95">
        <v>0</v>
      </c>
      <c r="Q95">
        <v>0</v>
      </c>
    </row>
    <row r="96" spans="1:17">
      <c r="B96" t="s">
        <v>1159</v>
      </c>
      <c r="C96" t="s">
        <v>2</v>
      </c>
      <c r="D96">
        <v>0</v>
      </c>
      <c r="E96">
        <v>0</v>
      </c>
      <c r="F96">
        <v>0</v>
      </c>
      <c r="G96">
        <v>0</v>
      </c>
      <c r="H96">
        <v>0</v>
      </c>
      <c r="I96">
        <v>0</v>
      </c>
      <c r="J96">
        <v>0</v>
      </c>
      <c r="K96">
        <v>0</v>
      </c>
      <c r="L96">
        <v>0</v>
      </c>
      <c r="M96">
        <v>0</v>
      </c>
      <c r="N96">
        <v>0</v>
      </c>
      <c r="O96">
        <v>0</v>
      </c>
      <c r="P96">
        <v>0</v>
      </c>
      <c r="Q96">
        <v>0</v>
      </c>
    </row>
    <row r="97" spans="2:17">
      <c r="B97" t="s">
        <v>737</v>
      </c>
      <c r="C97" t="s">
        <v>2</v>
      </c>
      <c r="D97">
        <v>0</v>
      </c>
      <c r="E97">
        <v>0</v>
      </c>
      <c r="F97">
        <v>0</v>
      </c>
      <c r="G97">
        <v>0</v>
      </c>
      <c r="H97">
        <v>0</v>
      </c>
      <c r="I97">
        <v>0</v>
      </c>
      <c r="J97">
        <v>0</v>
      </c>
      <c r="K97">
        <v>0</v>
      </c>
      <c r="L97">
        <v>0</v>
      </c>
      <c r="M97">
        <v>0</v>
      </c>
      <c r="N97">
        <v>0</v>
      </c>
      <c r="O97">
        <v>0</v>
      </c>
      <c r="P97">
        <v>0</v>
      </c>
      <c r="Q97">
        <v>0</v>
      </c>
    </row>
    <row r="98" spans="2:17">
      <c r="B98" t="s">
        <v>1160</v>
      </c>
      <c r="C98" t="s">
        <v>2</v>
      </c>
      <c r="D98">
        <v>0</v>
      </c>
      <c r="E98">
        <v>0</v>
      </c>
      <c r="F98">
        <v>12000</v>
      </c>
      <c r="G98">
        <v>460</v>
      </c>
      <c r="H98">
        <v>0</v>
      </c>
      <c r="I98">
        <v>0</v>
      </c>
      <c r="J98">
        <v>0</v>
      </c>
      <c r="K98">
        <v>140000</v>
      </c>
      <c r="L98">
        <v>0</v>
      </c>
      <c r="M98">
        <v>0</v>
      </c>
      <c r="N98">
        <v>0</v>
      </c>
      <c r="O98">
        <v>0</v>
      </c>
      <c r="P98">
        <v>0</v>
      </c>
      <c r="Q98">
        <v>0</v>
      </c>
    </row>
    <row r="99" spans="2:17">
      <c r="B99" t="s">
        <v>1161</v>
      </c>
      <c r="C99" t="s">
        <v>2</v>
      </c>
      <c r="D99">
        <v>0</v>
      </c>
      <c r="E99" s="4">
        <v>0</v>
      </c>
      <c r="F99">
        <v>0</v>
      </c>
      <c r="G99">
        <v>0</v>
      </c>
      <c r="H99">
        <v>0</v>
      </c>
      <c r="I99">
        <v>0</v>
      </c>
      <c r="J99">
        <v>0</v>
      </c>
      <c r="K99">
        <v>0</v>
      </c>
      <c r="L99">
        <v>0</v>
      </c>
      <c r="M99">
        <v>0</v>
      </c>
      <c r="N99">
        <v>0</v>
      </c>
      <c r="O99">
        <v>0</v>
      </c>
      <c r="P99">
        <v>0</v>
      </c>
      <c r="Q99">
        <v>0</v>
      </c>
    </row>
    <row r="100" spans="2:17">
      <c r="B100" t="s">
        <v>1162</v>
      </c>
      <c r="C100" t="s">
        <v>2</v>
      </c>
      <c r="D100">
        <v>14000</v>
      </c>
      <c r="E100">
        <v>0</v>
      </c>
      <c r="F100">
        <v>0</v>
      </c>
      <c r="G100">
        <v>0</v>
      </c>
      <c r="H100">
        <v>14000</v>
      </c>
      <c r="I100">
        <v>39000</v>
      </c>
      <c r="J100">
        <v>0</v>
      </c>
      <c r="K100">
        <v>0</v>
      </c>
      <c r="L100">
        <v>67000</v>
      </c>
      <c r="M100">
        <v>14000</v>
      </c>
      <c r="N100">
        <v>39000</v>
      </c>
      <c r="O100">
        <v>140000</v>
      </c>
      <c r="P100">
        <v>14000</v>
      </c>
      <c r="Q100">
        <v>0</v>
      </c>
    </row>
    <row r="101" spans="2:17">
      <c r="B101" t="s">
        <v>1163</v>
      </c>
      <c r="C101" t="s">
        <v>2</v>
      </c>
      <c r="D101">
        <v>0</v>
      </c>
      <c r="E101">
        <v>0</v>
      </c>
      <c r="F101">
        <v>0</v>
      </c>
      <c r="G101">
        <v>0</v>
      </c>
      <c r="H101">
        <v>0</v>
      </c>
      <c r="I101">
        <v>0</v>
      </c>
      <c r="J101">
        <v>0</v>
      </c>
      <c r="K101">
        <v>0</v>
      </c>
      <c r="L101">
        <v>0</v>
      </c>
      <c r="M101">
        <v>0</v>
      </c>
      <c r="N101">
        <v>0</v>
      </c>
      <c r="O101">
        <v>0</v>
      </c>
      <c r="P101">
        <v>0</v>
      </c>
      <c r="Q101">
        <v>0</v>
      </c>
    </row>
    <row r="102" spans="2:17">
      <c r="B102" t="s">
        <v>1164</v>
      </c>
      <c r="C102" t="s">
        <v>2</v>
      </c>
      <c r="D102">
        <v>0</v>
      </c>
      <c r="E102" s="4">
        <v>460000000</v>
      </c>
      <c r="F102">
        <v>0</v>
      </c>
      <c r="G102">
        <v>0</v>
      </c>
      <c r="H102">
        <v>0</v>
      </c>
      <c r="I102">
        <v>0</v>
      </c>
      <c r="J102">
        <v>22000000</v>
      </c>
      <c r="K102">
        <v>0</v>
      </c>
      <c r="L102">
        <v>0</v>
      </c>
      <c r="M102">
        <v>0</v>
      </c>
      <c r="N102">
        <v>0</v>
      </c>
      <c r="O102">
        <v>0</v>
      </c>
      <c r="P102">
        <v>0</v>
      </c>
      <c r="Q102">
        <v>5600000</v>
      </c>
    </row>
    <row r="103" spans="2:17">
      <c r="B103" t="s">
        <v>1165</v>
      </c>
      <c r="C103" t="s">
        <v>2</v>
      </c>
      <c r="D103">
        <v>0</v>
      </c>
      <c r="E103">
        <v>0</v>
      </c>
      <c r="F103">
        <v>0</v>
      </c>
      <c r="G103">
        <v>0</v>
      </c>
      <c r="H103">
        <v>0</v>
      </c>
      <c r="I103">
        <v>0</v>
      </c>
      <c r="J103">
        <v>0</v>
      </c>
      <c r="K103">
        <v>0</v>
      </c>
      <c r="L103">
        <v>0</v>
      </c>
      <c r="M103">
        <v>0</v>
      </c>
      <c r="N103">
        <v>0</v>
      </c>
      <c r="O103">
        <v>0</v>
      </c>
      <c r="P103">
        <v>0</v>
      </c>
      <c r="Q103">
        <v>0</v>
      </c>
    </row>
    <row r="104" spans="2:17">
      <c r="B104" t="s">
        <v>1166</v>
      </c>
      <c r="C104" t="s">
        <v>2</v>
      </c>
      <c r="D104">
        <v>0</v>
      </c>
      <c r="E104">
        <v>0</v>
      </c>
      <c r="F104">
        <v>0</v>
      </c>
      <c r="G104">
        <v>0</v>
      </c>
      <c r="H104">
        <v>0</v>
      </c>
      <c r="I104">
        <v>0</v>
      </c>
      <c r="J104">
        <v>0</v>
      </c>
      <c r="K104">
        <v>0</v>
      </c>
      <c r="L104">
        <v>0</v>
      </c>
      <c r="M104">
        <v>0</v>
      </c>
      <c r="N104">
        <v>0</v>
      </c>
      <c r="O104">
        <v>0</v>
      </c>
      <c r="P104">
        <v>0</v>
      </c>
      <c r="Q104">
        <v>0</v>
      </c>
    </row>
    <row r="105" spans="2:17">
      <c r="B105" t="s">
        <v>1167</v>
      </c>
      <c r="C105" t="s">
        <v>2</v>
      </c>
      <c r="D105">
        <v>0</v>
      </c>
      <c r="E105">
        <v>0</v>
      </c>
      <c r="F105">
        <v>0</v>
      </c>
      <c r="G105">
        <v>0</v>
      </c>
      <c r="H105">
        <v>0</v>
      </c>
      <c r="I105">
        <v>0</v>
      </c>
      <c r="J105">
        <v>0</v>
      </c>
      <c r="K105">
        <v>0</v>
      </c>
      <c r="L105">
        <v>0</v>
      </c>
      <c r="M105">
        <v>0</v>
      </c>
      <c r="N105">
        <v>0</v>
      </c>
      <c r="O105">
        <v>0</v>
      </c>
      <c r="P105">
        <v>0</v>
      </c>
      <c r="Q105">
        <v>0</v>
      </c>
    </row>
    <row r="106" spans="2:17">
      <c r="B106" t="s">
        <v>1168</v>
      </c>
      <c r="C106" t="s">
        <v>2</v>
      </c>
      <c r="D106">
        <v>0</v>
      </c>
      <c r="E106">
        <v>0</v>
      </c>
      <c r="F106">
        <v>0</v>
      </c>
      <c r="G106">
        <v>0</v>
      </c>
      <c r="H106">
        <v>0</v>
      </c>
      <c r="I106">
        <v>0</v>
      </c>
      <c r="J106">
        <v>0</v>
      </c>
      <c r="K106">
        <v>0</v>
      </c>
      <c r="L106">
        <v>0</v>
      </c>
      <c r="M106">
        <v>0</v>
      </c>
      <c r="N106">
        <v>0</v>
      </c>
      <c r="O106">
        <v>0</v>
      </c>
      <c r="P106">
        <v>0</v>
      </c>
      <c r="Q106">
        <v>0</v>
      </c>
    </row>
    <row r="107" spans="2:17">
      <c r="B107" t="s">
        <v>1169</v>
      </c>
      <c r="C107" t="s">
        <v>2</v>
      </c>
      <c r="D107">
        <v>0</v>
      </c>
      <c r="E107">
        <v>0</v>
      </c>
      <c r="F107">
        <v>0</v>
      </c>
      <c r="G107">
        <v>0</v>
      </c>
      <c r="H107">
        <v>0</v>
      </c>
      <c r="I107">
        <v>0</v>
      </c>
      <c r="J107">
        <v>0</v>
      </c>
      <c r="K107">
        <v>0</v>
      </c>
      <c r="L107">
        <v>0</v>
      </c>
      <c r="M107">
        <v>0</v>
      </c>
      <c r="N107">
        <v>0</v>
      </c>
      <c r="O107">
        <v>0</v>
      </c>
      <c r="P107">
        <v>0</v>
      </c>
      <c r="Q107">
        <v>0</v>
      </c>
    </row>
    <row r="108" spans="2:17">
      <c r="B108" t="s">
        <v>1170</v>
      </c>
      <c r="C108" t="s">
        <v>2</v>
      </c>
      <c r="D108">
        <v>0</v>
      </c>
      <c r="E108">
        <v>0</v>
      </c>
      <c r="F108">
        <v>0</v>
      </c>
      <c r="G108">
        <v>0</v>
      </c>
      <c r="H108">
        <v>0</v>
      </c>
      <c r="I108">
        <v>0</v>
      </c>
      <c r="J108">
        <v>0</v>
      </c>
      <c r="K108">
        <v>0</v>
      </c>
      <c r="L108">
        <v>0</v>
      </c>
      <c r="M108">
        <v>0</v>
      </c>
      <c r="N108">
        <v>0</v>
      </c>
      <c r="O108">
        <v>0</v>
      </c>
      <c r="P108">
        <v>0</v>
      </c>
      <c r="Q108">
        <v>0</v>
      </c>
    </row>
    <row r="109" spans="2:17">
      <c r="B109" t="s">
        <v>1171</v>
      </c>
      <c r="C109" t="s">
        <v>2</v>
      </c>
      <c r="D109">
        <v>0</v>
      </c>
      <c r="E109">
        <v>0</v>
      </c>
      <c r="F109">
        <v>0</v>
      </c>
      <c r="G109">
        <v>0</v>
      </c>
      <c r="H109">
        <v>0</v>
      </c>
      <c r="I109">
        <v>0</v>
      </c>
      <c r="J109">
        <v>0</v>
      </c>
      <c r="K109">
        <v>0</v>
      </c>
      <c r="L109">
        <v>0</v>
      </c>
      <c r="M109">
        <v>0</v>
      </c>
      <c r="N109">
        <v>0</v>
      </c>
      <c r="O109">
        <v>0</v>
      </c>
      <c r="P109">
        <v>0</v>
      </c>
      <c r="Q109">
        <v>0</v>
      </c>
    </row>
    <row r="110" spans="2:17">
      <c r="B110" t="s">
        <v>1172</v>
      </c>
      <c r="C110" t="s">
        <v>2</v>
      </c>
      <c r="D110">
        <v>0</v>
      </c>
      <c r="E110">
        <v>0</v>
      </c>
      <c r="F110">
        <v>0</v>
      </c>
      <c r="G110">
        <v>0</v>
      </c>
      <c r="H110">
        <v>0</v>
      </c>
      <c r="I110">
        <v>0</v>
      </c>
      <c r="J110">
        <v>0</v>
      </c>
      <c r="K110">
        <v>0</v>
      </c>
      <c r="L110">
        <v>0</v>
      </c>
      <c r="M110">
        <v>0</v>
      </c>
      <c r="N110">
        <v>0</v>
      </c>
      <c r="O110">
        <v>0</v>
      </c>
      <c r="P110">
        <v>0</v>
      </c>
      <c r="Q110">
        <v>0</v>
      </c>
    </row>
    <row r="111" spans="2:17">
      <c r="B111" t="s">
        <v>1173</v>
      </c>
      <c r="C111" t="s">
        <v>2</v>
      </c>
      <c r="D111">
        <v>0</v>
      </c>
      <c r="E111">
        <v>0</v>
      </c>
      <c r="F111">
        <v>0</v>
      </c>
      <c r="G111">
        <v>0</v>
      </c>
      <c r="H111">
        <v>0</v>
      </c>
      <c r="I111">
        <v>0</v>
      </c>
      <c r="J111">
        <v>0</v>
      </c>
      <c r="K111">
        <v>0</v>
      </c>
      <c r="L111">
        <v>0</v>
      </c>
      <c r="M111">
        <v>0</v>
      </c>
      <c r="N111">
        <v>0</v>
      </c>
      <c r="O111">
        <v>0</v>
      </c>
      <c r="P111">
        <v>0</v>
      </c>
      <c r="Q111">
        <v>0</v>
      </c>
    </row>
    <row r="112" spans="2:17">
      <c r="B112" t="s">
        <v>1174</v>
      </c>
      <c r="C112" t="s">
        <v>2</v>
      </c>
      <c r="D112">
        <v>0</v>
      </c>
      <c r="E112">
        <v>0</v>
      </c>
      <c r="F112">
        <v>0</v>
      </c>
      <c r="G112">
        <v>0</v>
      </c>
      <c r="H112">
        <v>0</v>
      </c>
      <c r="I112">
        <v>0</v>
      </c>
      <c r="J112">
        <v>0</v>
      </c>
      <c r="K112">
        <v>0</v>
      </c>
      <c r="L112">
        <v>0</v>
      </c>
      <c r="M112">
        <v>0</v>
      </c>
      <c r="N112">
        <v>0</v>
      </c>
      <c r="O112">
        <v>0</v>
      </c>
      <c r="P112">
        <v>0</v>
      </c>
      <c r="Q112">
        <v>0</v>
      </c>
    </row>
    <row r="115" spans="1:17">
      <c r="A115" s="169"/>
      <c r="B115" t="s">
        <v>35</v>
      </c>
      <c r="C115" t="s">
        <v>2</v>
      </c>
      <c r="D115">
        <v>18015.8</v>
      </c>
      <c r="E115" s="4">
        <v>460623020</v>
      </c>
      <c r="F115">
        <v>7129.08</v>
      </c>
      <c r="G115">
        <v>309.95999999999998</v>
      </c>
      <c r="H115">
        <v>18015.8</v>
      </c>
      <c r="I115">
        <v>56366.16</v>
      </c>
      <c r="J115">
        <v>27073656</v>
      </c>
      <c r="K115">
        <v>91748.160000000003</v>
      </c>
      <c r="L115">
        <v>57576.093000000001</v>
      </c>
      <c r="M115">
        <v>18015.8</v>
      </c>
      <c r="N115">
        <v>44945.531999999999</v>
      </c>
      <c r="O115">
        <v>149814.57999999999</v>
      </c>
      <c r="P115">
        <v>18015.8</v>
      </c>
      <c r="Q115">
        <v>4450464</v>
      </c>
    </row>
  </sheetData>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A87F-8504-425D-8172-BE616A480290}">
  <dimension ref="A1:X13"/>
  <sheetViews>
    <sheetView workbookViewId="0">
      <selection activeCell="S3" sqref="S3"/>
    </sheetView>
  </sheetViews>
  <sheetFormatPr baseColWidth="10" defaultRowHeight="12.75"/>
  <cols>
    <col min="1" max="1" width="59.85546875" bestFit="1" customWidth="1"/>
    <col min="2" max="2" width="20.85546875" bestFit="1" customWidth="1"/>
    <col min="3" max="24" width="5.5703125" customWidth="1"/>
  </cols>
  <sheetData>
    <row r="1" spans="1:24">
      <c r="B1" t="s">
        <v>1693</v>
      </c>
      <c r="C1" t="s">
        <v>1696</v>
      </c>
      <c r="G1" t="s">
        <v>1697</v>
      </c>
      <c r="J1" t="s">
        <v>1694</v>
      </c>
      <c r="U1" t="s">
        <v>1695</v>
      </c>
    </row>
    <row r="2" spans="1:24" ht="146.1" customHeight="1">
      <c r="A2" t="s">
        <v>1687</v>
      </c>
      <c r="B2" t="s">
        <v>36</v>
      </c>
      <c r="C2" s="741" t="s">
        <v>170</v>
      </c>
      <c r="D2" s="741" t="s">
        <v>509</v>
      </c>
      <c r="E2" s="741" t="s">
        <v>173</v>
      </c>
      <c r="F2" s="741"/>
      <c r="G2" s="741" t="s">
        <v>507</v>
      </c>
      <c r="H2" s="741" t="s">
        <v>396</v>
      </c>
      <c r="I2" s="741"/>
      <c r="J2" s="741" t="s">
        <v>237</v>
      </c>
      <c r="K2" s="741" t="s">
        <v>728</v>
      </c>
      <c r="L2" s="741" t="s">
        <v>238</v>
      </c>
      <c r="M2" s="741"/>
      <c r="N2" s="741" t="s">
        <v>117</v>
      </c>
      <c r="O2" s="741" t="s">
        <v>118</v>
      </c>
      <c r="P2" s="741" t="s">
        <v>281</v>
      </c>
      <c r="Q2" s="741" t="s">
        <v>282</v>
      </c>
      <c r="R2" s="741" t="s">
        <v>364</v>
      </c>
      <c r="S2" s="741" t="s">
        <v>947</v>
      </c>
      <c r="T2" s="741"/>
      <c r="U2" s="741" t="s">
        <v>279</v>
      </c>
      <c r="V2" s="741" t="s">
        <v>280</v>
      </c>
      <c r="W2" s="741" t="s">
        <v>361</v>
      </c>
      <c r="X2" s="741" t="s">
        <v>369</v>
      </c>
    </row>
    <row r="3" spans="1:24">
      <c r="A3" t="s">
        <v>1698</v>
      </c>
      <c r="B3" t="s">
        <v>1688</v>
      </c>
      <c r="C3">
        <v>1</v>
      </c>
      <c r="D3">
        <v>1</v>
      </c>
      <c r="E3">
        <v>1</v>
      </c>
      <c r="G3">
        <v>1</v>
      </c>
      <c r="H3">
        <v>0</v>
      </c>
      <c r="J3">
        <v>1</v>
      </c>
      <c r="K3">
        <v>1</v>
      </c>
      <c r="L3">
        <v>1</v>
      </c>
      <c r="N3">
        <v>1</v>
      </c>
      <c r="O3">
        <v>1</v>
      </c>
      <c r="P3">
        <v>1</v>
      </c>
      <c r="Q3">
        <v>1</v>
      </c>
      <c r="R3">
        <v>0</v>
      </c>
      <c r="S3">
        <v>0</v>
      </c>
      <c r="U3">
        <v>1</v>
      </c>
      <c r="V3">
        <v>1</v>
      </c>
      <c r="W3">
        <v>0</v>
      </c>
      <c r="X3">
        <v>0</v>
      </c>
    </row>
    <row r="4" spans="1:24">
      <c r="A4" t="s">
        <v>1690</v>
      </c>
      <c r="B4" t="s">
        <v>194</v>
      </c>
    </row>
    <row r="5" spans="1:24">
      <c r="A5" t="s">
        <v>1691</v>
      </c>
      <c r="B5" t="s">
        <v>568</v>
      </c>
    </row>
    <row r="6" spans="1:24">
      <c r="A6" t="s">
        <v>1653</v>
      </c>
      <c r="B6" t="s">
        <v>568</v>
      </c>
    </row>
    <row r="7" spans="1:24">
      <c r="A7" t="s">
        <v>1086</v>
      </c>
      <c r="B7" t="s">
        <v>568</v>
      </c>
    </row>
    <row r="8" spans="1:24">
      <c r="A8" t="s">
        <v>631</v>
      </c>
      <c r="B8" t="s">
        <v>568</v>
      </c>
    </row>
    <row r="9" spans="1:24">
      <c r="A9" t="s">
        <v>371</v>
      </c>
      <c r="B9" t="s">
        <v>1689</v>
      </c>
    </row>
    <row r="10" spans="1:24">
      <c r="A10" t="s">
        <v>1692</v>
      </c>
      <c r="B10" t="s">
        <v>539</v>
      </c>
    </row>
    <row r="11" spans="1:24">
      <c r="A11" t="s">
        <v>1657</v>
      </c>
      <c r="B11" t="s">
        <v>542</v>
      </c>
    </row>
    <row r="13" spans="1:24">
      <c r="A13" t="s">
        <v>1699</v>
      </c>
    </row>
  </sheetData>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31"/>
  <sheetViews>
    <sheetView topLeftCell="B2" workbookViewId="0"/>
  </sheetViews>
  <sheetFormatPr baseColWidth="10" defaultColWidth="11.42578125" defaultRowHeight="12.75" outlineLevelRow="1" outlineLevelCol="1"/>
  <cols>
    <col min="1" max="1" width="5.42578125" style="168" hidden="1" customWidth="1" outlineLevel="1"/>
    <col min="2" max="2" width="39.28515625" style="168" customWidth="1" collapsed="1"/>
    <col min="3" max="3" width="15" style="168" bestFit="1" customWidth="1"/>
    <col min="4" max="4" width="13.42578125" style="168" customWidth="1"/>
    <col min="5" max="5" width="6.7109375" style="168" customWidth="1"/>
    <col min="6" max="6" width="2.42578125" style="168" customWidth="1"/>
    <col min="7" max="7" width="12.5703125" style="168" customWidth="1"/>
    <col min="8" max="8" width="11.5703125" style="168" customWidth="1"/>
    <col min="9" max="9" width="14" style="168" customWidth="1"/>
    <col min="10" max="10" width="15.5703125" style="168" customWidth="1"/>
    <col min="11" max="11" width="15.85546875" style="168" customWidth="1"/>
    <col min="12" max="12" width="12.85546875" style="168" customWidth="1"/>
    <col min="13" max="16384" width="11.42578125" style="168"/>
  </cols>
  <sheetData>
    <row r="1" spans="1:12" hidden="1" outlineLevel="1">
      <c r="H1" s="255">
        <v>29</v>
      </c>
      <c r="I1" s="255">
        <v>35</v>
      </c>
      <c r="J1" s="255">
        <v>34</v>
      </c>
      <c r="K1" s="255">
        <v>31</v>
      </c>
    </row>
    <row r="2" spans="1:12" ht="18" collapsed="1">
      <c r="A2" s="168">
        <v>29</v>
      </c>
      <c r="B2" s="82" t="str">
        <f>nameBM</f>
        <v>Test</v>
      </c>
      <c r="C2" s="248"/>
      <c r="D2" s="254">
        <f>H2</f>
        <v>0</v>
      </c>
      <c r="E2" s="252" t="s">
        <v>348</v>
      </c>
      <c r="H2" s="253">
        <f>INDEX(menuesBM!$1:$1048576,H1,sprache)</f>
        <v>0</v>
      </c>
      <c r="I2" s="253">
        <f>INDEX(menuesBM!$1:$1048576,$I1,sprache)</f>
        <v>0</v>
      </c>
      <c r="J2" s="253">
        <f>INDEX(menuesBM!$1:$1048576,J1,sprache)</f>
        <v>0</v>
      </c>
      <c r="K2" s="253">
        <f>INDEX(menuesBM!$1:$1048576,K1,sprache)</f>
        <v>0</v>
      </c>
    </row>
    <row r="3" spans="1:12">
      <c r="A3" s="168">
        <v>56</v>
      </c>
      <c r="B3" s="248"/>
      <c r="C3" s="252"/>
      <c r="D3" s="252" t="str">
        <f>H3</f>
        <v>Pkt</v>
      </c>
      <c r="E3" s="247"/>
      <c r="H3" s="251" t="s">
        <v>48</v>
      </c>
      <c r="I3" s="251" t="s">
        <v>47</v>
      </c>
      <c r="J3" s="251" t="s">
        <v>46</v>
      </c>
      <c r="K3" s="251" t="s">
        <v>48</v>
      </c>
    </row>
    <row r="4" spans="1:12">
      <c r="A4" s="168">
        <v>45</v>
      </c>
      <c r="B4" s="187">
        <f>INDEX(menuesBM!$1:$1048576,$A4,sprache)</f>
        <v>0</v>
      </c>
      <c r="C4" s="187"/>
      <c r="D4" s="248"/>
      <c r="E4" s="250">
        <f t="shared" ref="E4:E9" si="0">H4/H$9</f>
        <v>0</v>
      </c>
      <c r="H4" s="249">
        <f>SUM(LCIAbm!$C$8:$G$8)</f>
        <v>0</v>
      </c>
      <c r="I4" s="249">
        <f>SUM(LCIAbm!$C$9:$G$9)</f>
        <v>0</v>
      </c>
      <c r="J4" s="249">
        <f>SUM(LCIAbm!$C$10:$G$10)</f>
        <v>0</v>
      </c>
      <c r="K4" s="249">
        <f>SUM(LCIAbm!$C$11:$G$11)</f>
        <v>0</v>
      </c>
    </row>
    <row r="5" spans="1:12">
      <c r="A5" s="168">
        <v>47</v>
      </c>
      <c r="B5" s="187">
        <f>INDEX(menuesBM!$1:$1048576,$A5,sprache)</f>
        <v>0</v>
      </c>
      <c r="C5" s="187"/>
      <c r="D5" s="248"/>
      <c r="E5" s="250">
        <f t="shared" si="0"/>
        <v>0</v>
      </c>
      <c r="H5" s="249">
        <f>SUM(LCIAbm!$H$8:$M$8)</f>
        <v>0</v>
      </c>
      <c r="I5" s="249">
        <f>SUM(LCIAbm!$H$9:$M$9)</f>
        <v>0</v>
      </c>
      <c r="J5" s="249">
        <f>SUM(LCIAbm!$H$10:$M$10)</f>
        <v>0</v>
      </c>
      <c r="K5" s="249">
        <f>SUM(LCIAbm!$H$11:$M$11)</f>
        <v>0</v>
      </c>
    </row>
    <row r="6" spans="1:12">
      <c r="A6" s="168">
        <v>67</v>
      </c>
      <c r="B6" s="187">
        <f>INDEX(menuesBM!$1:$1048576,$A6,sprache)</f>
        <v>0</v>
      </c>
      <c r="C6" s="187"/>
      <c r="D6" s="248"/>
      <c r="E6" s="250">
        <f t="shared" si="0"/>
        <v>0</v>
      </c>
      <c r="H6" s="249">
        <f>SUM(LCIAbm!$U$8:$U$8)</f>
        <v>0</v>
      </c>
      <c r="I6" s="249">
        <f>SUM(LCIAbm!$U$9:$U$9)</f>
        <v>0</v>
      </c>
      <c r="J6" s="249">
        <f>SUM(LCIAbm!$U$10:$U$10)</f>
        <v>0</v>
      </c>
      <c r="K6" s="249">
        <f>SUM(LCIAbm!$U$11:$U$11)</f>
        <v>0</v>
      </c>
    </row>
    <row r="7" spans="1:12">
      <c r="A7" s="168">
        <v>20</v>
      </c>
      <c r="B7" s="187">
        <f>INDEX(menuesBM!$1:$1048576,$A7,sprache)</f>
        <v>0</v>
      </c>
      <c r="C7" s="187"/>
      <c r="D7" s="248"/>
      <c r="E7" s="250">
        <f t="shared" si="0"/>
        <v>1</v>
      </c>
      <c r="H7" s="249">
        <f>SUM(LCIAbm!$N$8:$S$8)</f>
        <v>6.5071313039262845E-3</v>
      </c>
      <c r="I7" s="249">
        <f>SUM(LCIAbm!$N$9:$S$9)</f>
        <v>1.3403582000000001E-2</v>
      </c>
      <c r="J7" s="249">
        <f>SUM(LCIAbm!$N$10:$S$10)</f>
        <v>2.9482703999999998E-2</v>
      </c>
      <c r="K7" s="249">
        <f>SUM(LCIAbm!$N$11:$S$11)</f>
        <v>69.323684047041795</v>
      </c>
    </row>
    <row r="8" spans="1:12">
      <c r="A8" s="168">
        <v>12</v>
      </c>
      <c r="B8" s="187">
        <f>INDEX(menuesBM!$1:$1048576,$A8,sprache)</f>
        <v>0</v>
      </c>
      <c r="C8" s="187"/>
      <c r="D8" s="248"/>
      <c r="E8" s="250">
        <f t="shared" si="0"/>
        <v>0</v>
      </c>
      <c r="H8" s="249">
        <f>SUM(LCIAbm!$T$8:$T$8)</f>
        <v>0</v>
      </c>
      <c r="I8" s="249">
        <f>SUM(LCIAbm!$T$9:$T$9)</f>
        <v>0</v>
      </c>
      <c r="J8" s="249">
        <f>SUM(LCIAbm!$T$10:$T$10)</f>
        <v>0</v>
      </c>
      <c r="K8" s="249">
        <f>SUM(LCIAbm!$T$11:$T$11)</f>
        <v>0</v>
      </c>
    </row>
    <row r="9" spans="1:12">
      <c r="A9" s="168">
        <v>17</v>
      </c>
      <c r="B9" s="92">
        <f>INDEX(menuesBM!$1:$1048576,$A9,sprache)</f>
        <v>0</v>
      </c>
      <c r="C9" s="92"/>
      <c r="D9" s="248"/>
      <c r="E9" s="247">
        <f t="shared" si="0"/>
        <v>1</v>
      </c>
      <c r="H9" s="16">
        <f>SUM(H4:H8)</f>
        <v>6.5071313039262845E-3</v>
      </c>
      <c r="I9" s="16">
        <f>SUM(I4:I8)</f>
        <v>1.3403582000000001E-2</v>
      </c>
      <c r="J9" s="16">
        <f>SUM(J4:J8)</f>
        <v>2.9482703999999998E-2</v>
      </c>
      <c r="K9" s="16">
        <f>SUM(K4:K8)</f>
        <v>69.323684047041795</v>
      </c>
    </row>
    <row r="10" spans="1:12" s="201" customFormat="1">
      <c r="A10" s="201">
        <v>49</v>
      </c>
      <c r="C10" s="94"/>
      <c r="D10" s="246"/>
      <c r="E10" s="245"/>
    </row>
    <row r="11" spans="1:12">
      <c r="A11" s="168">
        <v>56</v>
      </c>
      <c r="B11" s="97">
        <f>INDEX(menuesBM!$1:$1048576,$A11,sprache)</f>
        <v>0</v>
      </c>
      <c r="C11" s="242">
        <f>B9</f>
        <v>0</v>
      </c>
      <c r="D11" s="244"/>
      <c r="E11" s="224"/>
      <c r="G11" s="243" t="str">
        <f>nameBM</f>
        <v>Test</v>
      </c>
      <c r="H11" s="102"/>
      <c r="I11" s="103"/>
      <c r="J11" s="103"/>
      <c r="K11" s="104">
        <f>INDEX(menuesBM!$1:$1048576,$A10,sprache)</f>
        <v>0</v>
      </c>
    </row>
    <row r="12" spans="1:12">
      <c r="B12" s="97"/>
      <c r="C12" s="242" t="s">
        <v>347</v>
      </c>
      <c r="D12" s="224"/>
      <c r="E12" s="224"/>
      <c r="G12" s="238"/>
      <c r="H12" s="241" t="str">
        <f>H3</f>
        <v>Pkt</v>
      </c>
      <c r="I12" s="241" t="str">
        <f>I3</f>
        <v>kg CO2-eq</v>
      </c>
      <c r="J12" s="241" t="str">
        <f>J3</f>
        <v>MJ-eq</v>
      </c>
      <c r="K12" s="240" t="str">
        <f>K3</f>
        <v>Pkt</v>
      </c>
    </row>
    <row r="13" spans="1:12">
      <c r="A13" s="168">
        <v>51</v>
      </c>
      <c r="B13" s="183">
        <f>INDEX(menuesBM!$1:$1048576,$A13,sprache)</f>
        <v>0</v>
      </c>
      <c r="C13" s="108">
        <f>Prüfwert!X8</f>
        <v>0</v>
      </c>
      <c r="D13" s="226">
        <f>Prüfwert!X10</f>
        <v>0</v>
      </c>
      <c r="E13" s="225" t="e">
        <f>D13/D$22</f>
        <v>#DIV/0!</v>
      </c>
      <c r="G13" s="238" t="str">
        <f>REPLACE(B13,1,10,"")&amp;", kWh"</f>
        <v>, kWh</v>
      </c>
      <c r="H13" s="237">
        <f t="shared" ref="H13:K15" si="1">IF($C13&gt;0,$E13*H$9/$C13,0)</f>
        <v>0</v>
      </c>
      <c r="I13" s="237">
        <f t="shared" si="1"/>
        <v>0</v>
      </c>
      <c r="J13" s="239">
        <f t="shared" si="1"/>
        <v>0</v>
      </c>
      <c r="K13" s="235">
        <f t="shared" si="1"/>
        <v>0</v>
      </c>
    </row>
    <row r="14" spans="1:12">
      <c r="A14" s="168">
        <v>52</v>
      </c>
      <c r="B14" s="183">
        <f>INDEX(menuesBM!$1:$1048576,$A14,sprache)</f>
        <v>0</v>
      </c>
      <c r="C14" s="108">
        <f>Prüfwert!W8</f>
        <v>0</v>
      </c>
      <c r="D14" s="226">
        <f>Prüfwert!W10</f>
        <v>0</v>
      </c>
      <c r="E14" s="225" t="e">
        <f>D14/D$22</f>
        <v>#DIV/0!</v>
      </c>
      <c r="G14" s="238" t="str">
        <f>REPLACE(B14,1,10,"")&amp;", kWh"</f>
        <v>, kWh</v>
      </c>
      <c r="H14" s="237">
        <f t="shared" si="1"/>
        <v>0</v>
      </c>
      <c r="I14" s="237">
        <f t="shared" si="1"/>
        <v>0</v>
      </c>
      <c r="J14" s="236">
        <f t="shared" si="1"/>
        <v>0</v>
      </c>
      <c r="K14" s="235">
        <f t="shared" si="1"/>
        <v>0</v>
      </c>
    </row>
    <row r="15" spans="1:12" hidden="1" outlineLevel="1">
      <c r="A15" s="168">
        <v>53</v>
      </c>
      <c r="B15" s="183">
        <f>INDEX(menuesBM!$1:$1048576,$A15,sprache)</f>
        <v>0</v>
      </c>
      <c r="C15" s="234"/>
      <c r="D15" s="226"/>
      <c r="E15" s="225"/>
      <c r="G15" s="233" t="str">
        <f>REPLACE(B15,1,10,"")&amp;", kWh"</f>
        <v>, kWh</v>
      </c>
      <c r="H15" s="232">
        <f t="shared" si="1"/>
        <v>0</v>
      </c>
      <c r="I15" s="232">
        <f t="shared" si="1"/>
        <v>0</v>
      </c>
      <c r="J15" s="231">
        <f t="shared" si="1"/>
        <v>0</v>
      </c>
      <c r="K15" s="230">
        <f t="shared" si="1"/>
        <v>0</v>
      </c>
    </row>
    <row r="16" spans="1:12" hidden="1" outlineLevel="1">
      <c r="B16" s="183"/>
      <c r="C16" s="229"/>
      <c r="D16" s="226"/>
      <c r="E16" s="225"/>
      <c r="I16" s="228"/>
      <c r="J16" s="228"/>
      <c r="K16" s="228"/>
      <c r="L16" s="228"/>
    </row>
    <row r="17" spans="1:12" hidden="1" outlineLevel="1">
      <c r="B17" s="183"/>
      <c r="C17" s="227"/>
      <c r="D17" s="226"/>
      <c r="E17" s="225"/>
      <c r="L17" s="228"/>
    </row>
    <row r="18" spans="1:12" hidden="1" outlineLevel="1">
      <c r="B18" s="183"/>
      <c r="C18" s="227"/>
      <c r="D18" s="226"/>
      <c r="E18" s="225"/>
      <c r="I18" s="228"/>
      <c r="J18" s="228"/>
      <c r="K18" s="228"/>
      <c r="L18" s="228"/>
    </row>
    <row r="19" spans="1:12" hidden="1" outlineLevel="1">
      <c r="B19" s="183"/>
      <c r="C19" s="227"/>
      <c r="D19" s="226"/>
      <c r="E19" s="225"/>
    </row>
    <row r="20" spans="1:12" hidden="1" outlineLevel="1">
      <c r="B20" s="183"/>
      <c r="C20" s="227"/>
      <c r="D20" s="226"/>
      <c r="E20" s="225"/>
    </row>
    <row r="21" spans="1:12" hidden="1" outlineLevel="1">
      <c r="B21" s="183"/>
      <c r="C21" s="227"/>
      <c r="D21" s="226"/>
      <c r="E21" s="225"/>
    </row>
    <row r="22" spans="1:12" collapsed="1">
      <c r="A22" s="168">
        <v>17</v>
      </c>
      <c r="B22" s="97">
        <f>INDEX(menuesBM!$1:$1048576,$A22,sprache)</f>
        <v>0</v>
      </c>
      <c r="C22" s="97"/>
      <c r="D22" s="72">
        <f>SUM(D13:D21)</f>
        <v>0</v>
      </c>
      <c r="E22" s="224" t="e">
        <f>D22/D$22</f>
        <v>#DIV/0!</v>
      </c>
      <c r="G22" s="223" t="e">
        <f>PrüfungBM!B33</f>
        <v>#DIV/0!</v>
      </c>
      <c r="H22" s="223"/>
      <c r="I22" s="222"/>
      <c r="J22" s="222"/>
      <c r="K22" s="221" t="e">
        <f>H9/D22</f>
        <v>#DIV/0!</v>
      </c>
      <c r="L22" s="201"/>
    </row>
    <row r="23" spans="1:12">
      <c r="L23" s="220"/>
    </row>
    <row r="24" spans="1:12" outlineLevel="1">
      <c r="A24" s="168">
        <v>68</v>
      </c>
      <c r="B24" s="151">
        <f>INDEX(menuesBM!$1:$1048576,$A24,sprache)</f>
        <v>0</v>
      </c>
      <c r="L24" s="220"/>
    </row>
    <row r="25" spans="1:12" outlineLevel="1">
      <c r="A25" s="168">
        <v>67</v>
      </c>
      <c r="B25" s="187">
        <f>INDEX(menuesBM!$1:$1048576,$A25,sprache)</f>
        <v>0</v>
      </c>
      <c r="C25" s="187"/>
      <c r="D25" s="248"/>
      <c r="E25" s="250">
        <f>H25/H$26</f>
        <v>0</v>
      </c>
      <c r="H25" s="249">
        <f>SUM(LCIAbm!$V$8:$V$8)</f>
        <v>0</v>
      </c>
      <c r="I25" s="249">
        <f>SUM(LCIAbm!$V$9:$V$9)</f>
        <v>0</v>
      </c>
      <c r="J25" s="249">
        <f>SUM(LCIAbm!$V$10:$V$10)</f>
        <v>0</v>
      </c>
      <c r="K25" s="249">
        <f>SUM(LCIAbm!$V$11:$V$11)</f>
        <v>0</v>
      </c>
    </row>
    <row r="26" spans="1:12" outlineLevel="1">
      <c r="A26" s="168">
        <v>17</v>
      </c>
      <c r="B26" s="92">
        <f>INDEX(menuesBM!$1:$1048576,$A26,sprache)</f>
        <v>0</v>
      </c>
      <c r="C26" s="92"/>
      <c r="D26" s="248"/>
      <c r="E26" s="247">
        <f>H26/H$26</f>
        <v>1</v>
      </c>
      <c r="H26" s="16">
        <f>SUM(H4:H5,H25,H7:H8)</f>
        <v>6.5071313039262845E-3</v>
      </c>
      <c r="I26" s="16">
        <f t="shared" ref="I26:K26" si="2">SUM(I4:I5,I25,I7:I8)</f>
        <v>1.3403582000000001E-2</v>
      </c>
      <c r="J26" s="16">
        <f t="shared" si="2"/>
        <v>2.9482703999999998E-2</v>
      </c>
      <c r="K26" s="16">
        <f t="shared" si="2"/>
        <v>69.323684047041795</v>
      </c>
    </row>
    <row r="27" spans="1:12" outlineLevel="1">
      <c r="A27" s="168">
        <v>68</v>
      </c>
      <c r="B27" s="151">
        <f>INDEX(menuesBM!$1:$1048576,$A27,sprache)</f>
        <v>0</v>
      </c>
      <c r="C27" s="217">
        <f>B22</f>
        <v>0</v>
      </c>
      <c r="D27" s="219"/>
      <c r="E27" s="202"/>
      <c r="G27" s="218" t="str">
        <f>nameBM</f>
        <v>Test</v>
      </c>
      <c r="H27" s="160"/>
      <c r="I27" s="161"/>
      <c r="J27" s="161"/>
      <c r="K27" s="162">
        <f>B27</f>
        <v>0</v>
      </c>
    </row>
    <row r="28" spans="1:12" outlineLevel="1">
      <c r="B28" s="151"/>
      <c r="C28" s="217" t="s">
        <v>347</v>
      </c>
      <c r="D28" s="202"/>
      <c r="E28" s="202"/>
      <c r="G28" s="214"/>
      <c r="H28" s="216" t="str">
        <f>H12</f>
        <v>Pkt</v>
      </c>
      <c r="I28" s="216" t="str">
        <f>I12</f>
        <v>kg CO2-eq</v>
      </c>
      <c r="J28" s="216" t="str">
        <f>J12</f>
        <v>MJ-eq</v>
      </c>
      <c r="K28" s="215" t="str">
        <f>K12</f>
        <v>Pkt</v>
      </c>
    </row>
    <row r="29" spans="1:12" outlineLevel="1">
      <c r="A29" s="168">
        <v>51</v>
      </c>
      <c r="B29" s="210">
        <f>INDEX(menuesBM!$1:$1048576,$A29,sprache)</f>
        <v>0</v>
      </c>
      <c r="C29" s="204">
        <f>C13</f>
        <v>0</v>
      </c>
      <c r="D29" s="203">
        <f>C29</f>
        <v>0</v>
      </c>
      <c r="E29" s="209" t="e">
        <f>D29/SUM(D$29:D$30)</f>
        <v>#DIV/0!</v>
      </c>
      <c r="G29" s="214" t="str">
        <f>REPLACE(B29,1,10,"")&amp;", kWh"</f>
        <v>, kWh</v>
      </c>
      <c r="H29" s="213">
        <f t="shared" ref="H29:K30" si="3">IF($C29&gt;0,$E29*H$26/$C29,0)</f>
        <v>0</v>
      </c>
      <c r="I29" s="213">
        <f t="shared" si="3"/>
        <v>0</v>
      </c>
      <c r="J29" s="212">
        <f t="shared" si="3"/>
        <v>0</v>
      </c>
      <c r="K29" s="211">
        <f t="shared" si="3"/>
        <v>0</v>
      </c>
    </row>
    <row r="30" spans="1:12" outlineLevel="1">
      <c r="A30" s="168">
        <v>52</v>
      </c>
      <c r="B30" s="210">
        <f>INDEX(menuesBM!$1:$1048576,$A30,sprache)</f>
        <v>0</v>
      </c>
      <c r="C30" s="204">
        <f>C14</f>
        <v>0</v>
      </c>
      <c r="D30" s="203">
        <f>0.17*C30</f>
        <v>0</v>
      </c>
      <c r="E30" s="209" t="e">
        <f>D30/SUM(D$29:D$30)</f>
        <v>#DIV/0!</v>
      </c>
      <c r="G30" s="208" t="str">
        <f>REPLACE(B30,1,10,"")&amp;", kWh"</f>
        <v>, kWh</v>
      </c>
      <c r="H30" s="207">
        <f t="shared" si="3"/>
        <v>0</v>
      </c>
      <c r="I30" s="207">
        <f t="shared" si="3"/>
        <v>0</v>
      </c>
      <c r="J30" s="206">
        <f t="shared" si="3"/>
        <v>0</v>
      </c>
      <c r="K30" s="205">
        <f t="shared" si="3"/>
        <v>0</v>
      </c>
    </row>
    <row r="31" spans="1:12" outlineLevel="1">
      <c r="A31" s="168">
        <v>17</v>
      </c>
      <c r="B31" s="151">
        <f>INDEX(menuesBM!$1:$1048576,$A31,sprache)</f>
        <v>0</v>
      </c>
      <c r="C31" s="204">
        <f>SUM(C29:C30)</f>
        <v>0</v>
      </c>
      <c r="D31" s="203">
        <f>SUM(D29:D30)</f>
        <v>0</v>
      </c>
      <c r="E31" s="202" t="e">
        <f>SUM(E29:E30)</f>
        <v>#DIV/0!</v>
      </c>
      <c r="L31" s="201"/>
    </row>
  </sheetData>
  <printOptions horizontalCentered="1" verticalCentered="1"/>
  <pageMargins left="0.78740157480314965" right="0.78740157480314965" top="0.98425196850393704" bottom="0.98425196850393704" header="0.51181102362204722" footer="0.51181102362204722"/>
  <pageSetup paperSize="9" scale="90" orientation="landscape" r:id="rId1"/>
  <headerFooter alignWithMargins="0">
    <oddHeader>&amp;LUmweltdeklaration&amp;C&amp;D&amp;Rnaturemade Star Energieprodukte</oddHeader>
    <oddFooter>&amp;L(c) 2013 ESU-services GmbH&amp;Cwww.esu-services.ch&amp;R&amp;F</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33"/>
  <sheetViews>
    <sheetView topLeftCell="B1" workbookViewId="0">
      <selection activeCell="B7" sqref="B7:CY124"/>
    </sheetView>
  </sheetViews>
  <sheetFormatPr baseColWidth="10" defaultColWidth="11.42578125" defaultRowHeight="12.75" outlineLevelRow="1" outlineLevelCol="1"/>
  <cols>
    <col min="1" max="1" width="4.28515625" style="171" hidden="1" customWidth="1" outlineLevel="1"/>
    <col min="2" max="2" width="58.140625" style="171" customWidth="1" collapsed="1"/>
    <col min="3" max="3" width="17" style="171" customWidth="1"/>
    <col min="4" max="4" width="10.5703125" style="171" customWidth="1"/>
    <col min="5" max="5" width="7.140625" style="171" customWidth="1"/>
    <col min="6" max="6" width="19.140625" style="171" hidden="1" customWidth="1" outlineLevel="1"/>
    <col min="7" max="7" width="9.7109375" style="171" customWidth="1" collapsed="1"/>
    <col min="8" max="8" width="11.85546875" style="171" hidden="1" customWidth="1" outlineLevel="1"/>
    <col min="9" max="9" width="62.5703125" style="171" customWidth="1" collapsed="1"/>
    <col min="10" max="10" width="11.42578125" style="171"/>
    <col min="11" max="11" width="23.7109375" style="171" customWidth="1"/>
    <col min="12" max="13" width="11.5703125" style="171" customWidth="1"/>
    <col min="14" max="16384" width="11.42578125" style="171"/>
  </cols>
  <sheetData>
    <row r="1" spans="1:13" outlineLevel="1"/>
    <row r="2" spans="1:13" ht="21.2" customHeight="1">
      <c r="A2" s="171">
        <v>2</v>
      </c>
      <c r="B2" s="78">
        <f>INDEX(menuesBM!$1:$1048576,$A2,sprache)</f>
        <v>0</v>
      </c>
      <c r="C2" s="15"/>
      <c r="D2" s="178"/>
      <c r="E2" s="178"/>
      <c r="F2" s="179"/>
      <c r="G2" s="172" t="s">
        <v>299</v>
      </c>
    </row>
    <row r="3" spans="1:13" ht="18.75" customHeight="1">
      <c r="A3" s="171">
        <v>3</v>
      </c>
      <c r="B3" s="79">
        <f>INDEX(menuesBM!$1:$1048576,$A3,sprache)</f>
        <v>0</v>
      </c>
      <c r="C3" s="75"/>
      <c r="D3" s="178"/>
      <c r="E3" s="178"/>
      <c r="F3" s="179"/>
      <c r="G3" s="177" t="s">
        <v>352</v>
      </c>
      <c r="H3" s="171">
        <v>1</v>
      </c>
    </row>
    <row r="4" spans="1:13" ht="18.75" customHeight="1">
      <c r="A4" s="171">
        <v>4</v>
      </c>
      <c r="B4" s="79">
        <f>INDEX(menuesBM!$1:$1048576,$A4,sprache)</f>
        <v>0</v>
      </c>
      <c r="C4" s="76" t="s">
        <v>953</v>
      </c>
      <c r="D4" s="178"/>
      <c r="E4" s="178"/>
      <c r="F4" s="179"/>
      <c r="G4" s="177" t="s">
        <v>352</v>
      </c>
    </row>
    <row r="5" spans="1:13" ht="18.75" customHeight="1">
      <c r="A5" s="171">
        <v>93</v>
      </c>
      <c r="B5" s="200">
        <f>INDEX(menuesBM!$1:$1048576,$A5,sprache)</f>
        <v>0</v>
      </c>
      <c r="C5" s="197">
        <f>SUM(C6:C12)</f>
        <v>1</v>
      </c>
      <c r="D5" s="178"/>
      <c r="E5" s="196"/>
      <c r="F5" s="179"/>
      <c r="G5" s="177" t="s">
        <v>352</v>
      </c>
      <c r="L5" s="171" t="str">
        <f>nameBM</f>
        <v>Test</v>
      </c>
      <c r="M5" s="171">
        <f>UmweltdeklarationBM!B11</f>
        <v>0</v>
      </c>
    </row>
    <row r="6" spans="1:13" ht="18.75" customHeight="1">
      <c r="A6">
        <v>63</v>
      </c>
      <c r="B6" s="199">
        <f>INDEX(menuesBM!$1:$1048576,$A6,sprache)</f>
        <v>0</v>
      </c>
      <c r="C6" s="198">
        <v>0</v>
      </c>
      <c r="D6" s="180">
        <f t="shared" ref="D6:D12" si="0">C6/C$5</f>
        <v>0</v>
      </c>
      <c r="E6" s="178"/>
      <c r="F6" s="173"/>
      <c r="G6" s="177" t="s">
        <v>352</v>
      </c>
      <c r="K6" s="171">
        <f>UmweltdeklarationBM!B4</f>
        <v>0</v>
      </c>
      <c r="L6" s="188">
        <f>UmweltdeklarationBM!H4</f>
        <v>0</v>
      </c>
      <c r="M6" s="188"/>
    </row>
    <row r="7" spans="1:13" ht="18.75" customHeight="1">
      <c r="A7">
        <v>64</v>
      </c>
      <c r="B7" s="199">
        <f>INDEX(menuesBM!$1:$1048576,$A7,sprache)</f>
        <v>0</v>
      </c>
      <c r="C7" s="198">
        <v>0</v>
      </c>
      <c r="D7" s="180">
        <f t="shared" si="0"/>
        <v>0</v>
      </c>
      <c r="E7" s="178"/>
      <c r="F7" s="179"/>
      <c r="G7" s="177" t="s">
        <v>352</v>
      </c>
      <c r="K7" s="171">
        <f>UmweltdeklarationBM!B5</f>
        <v>0</v>
      </c>
      <c r="L7" s="188">
        <f>UmweltdeklarationBM!H5</f>
        <v>0</v>
      </c>
      <c r="M7" s="188"/>
    </row>
    <row r="8" spans="1:13" ht="18.75" customHeight="1">
      <c r="A8">
        <v>72</v>
      </c>
      <c r="B8" s="199">
        <f>INDEX(menuesBM!$1:$1048576,$A8,sprache)</f>
        <v>0</v>
      </c>
      <c r="C8" s="198">
        <v>0</v>
      </c>
      <c r="D8" s="180">
        <f t="shared" si="0"/>
        <v>0</v>
      </c>
      <c r="E8" s="178"/>
      <c r="F8" s="179"/>
      <c r="G8" s="177" t="s">
        <v>352</v>
      </c>
      <c r="K8" s="171">
        <f>UmweltdeklarationBM!B6</f>
        <v>0</v>
      </c>
      <c r="L8" s="188">
        <f>UmweltdeklarationBM!H6</f>
        <v>0</v>
      </c>
    </row>
    <row r="9" spans="1:13" ht="18.75" customHeight="1">
      <c r="A9">
        <v>73</v>
      </c>
      <c r="B9" s="199">
        <f>INDEX(menuesBM!$1:$1048576,$A9,sprache)</f>
        <v>0</v>
      </c>
      <c r="C9" s="198">
        <v>0</v>
      </c>
      <c r="D9" s="180">
        <f t="shared" si="0"/>
        <v>0</v>
      </c>
      <c r="E9" s="178"/>
      <c r="F9" s="179"/>
      <c r="G9" s="177" t="s">
        <v>352</v>
      </c>
      <c r="K9" s="171">
        <f>UmweltdeklarationBM!B7</f>
        <v>0</v>
      </c>
      <c r="L9" s="188">
        <f>UmweltdeklarationBM!H7</f>
        <v>6.5071313039262845E-3</v>
      </c>
      <c r="M9" s="188"/>
    </row>
    <row r="10" spans="1:13" ht="18.75" customHeight="1">
      <c r="A10">
        <v>66</v>
      </c>
      <c r="B10" s="199">
        <f>INDEX(menuesBM!$1:$1048576,$A10,sprache)</f>
        <v>0</v>
      </c>
      <c r="C10" s="198">
        <v>0</v>
      </c>
      <c r="D10" s="180">
        <f t="shared" si="0"/>
        <v>0</v>
      </c>
      <c r="E10" s="178"/>
      <c r="F10" s="179"/>
      <c r="G10" s="177" t="s">
        <v>352</v>
      </c>
      <c r="K10" s="171">
        <f>UmweltdeklarationBM!B8</f>
        <v>0</v>
      </c>
      <c r="L10" s="188">
        <f>UmweltdeklarationBM!H8</f>
        <v>0</v>
      </c>
    </row>
    <row r="11" spans="1:13" ht="18.75" customHeight="1">
      <c r="A11">
        <v>71</v>
      </c>
      <c r="B11" s="199">
        <f>INDEX(menuesBM!$1:$1048576,$A11,sprache)</f>
        <v>0</v>
      </c>
      <c r="C11" s="198">
        <v>0</v>
      </c>
      <c r="D11" s="180">
        <f t="shared" si="0"/>
        <v>0</v>
      </c>
      <c r="E11" s="178"/>
      <c r="F11" s="179"/>
      <c r="G11" s="177" t="s">
        <v>352</v>
      </c>
      <c r="K11" s="171">
        <f>UmweltdeklarationBM!B13</f>
        <v>0</v>
      </c>
      <c r="L11" s="188"/>
      <c r="M11" s="188">
        <f>UmweltdeklarationBM!D13</f>
        <v>0</v>
      </c>
    </row>
    <row r="12" spans="1:13" ht="18.75" customHeight="1">
      <c r="A12">
        <v>67</v>
      </c>
      <c r="B12" s="275" t="str">
        <f>"Biomethan, "&amp;name</f>
        <v xml:space="preserve">Biomethan, </v>
      </c>
      <c r="C12" s="198">
        <v>1</v>
      </c>
      <c r="D12" s="180">
        <f t="shared" si="0"/>
        <v>1</v>
      </c>
      <c r="E12" s="178"/>
      <c r="F12" s="179"/>
      <c r="G12" s="177" t="s">
        <v>352</v>
      </c>
      <c r="K12" s="171">
        <f>UmweltdeklarationBM!B14</f>
        <v>0</v>
      </c>
      <c r="L12" s="188"/>
      <c r="M12" s="188">
        <f>UmweltdeklarationBM!D14</f>
        <v>0</v>
      </c>
    </row>
    <row r="13" spans="1:13" ht="18.75" customHeight="1">
      <c r="A13" s="171">
        <v>94</v>
      </c>
      <c r="B13" s="122">
        <f>INDEX(menuesBM!$1:$1048576,$A13,sprache)</f>
        <v>0</v>
      </c>
      <c r="C13" s="197">
        <f>SUM(C14:C18)</f>
        <v>0</v>
      </c>
      <c r="D13" s="178"/>
      <c r="E13" s="196"/>
      <c r="F13" s="179"/>
      <c r="G13" s="177" t="s">
        <v>352</v>
      </c>
      <c r="L13" s="185">
        <f>SUM(L6:L12)</f>
        <v>6.5071313039262845E-3</v>
      </c>
      <c r="M13" s="185">
        <f>SUM(M6:M12)</f>
        <v>0</v>
      </c>
    </row>
    <row r="14" spans="1:13" ht="18.75" customHeight="1">
      <c r="A14" s="171">
        <v>9</v>
      </c>
      <c r="B14" s="194">
        <f>INDEX(menuesBM!$1:$1048576,$A14,sprache)</f>
        <v>0</v>
      </c>
      <c r="C14" s="195">
        <v>0</v>
      </c>
      <c r="D14" s="178"/>
      <c r="E14" s="178"/>
      <c r="F14" s="173"/>
      <c r="G14" s="177" t="b">
        <f>IF(AND(C14&gt;0,C26&gt;0),FALSE,TRUE)</f>
        <v>1</v>
      </c>
    </row>
    <row r="15" spans="1:13" ht="18.75" customHeight="1" outlineLevel="1">
      <c r="A15" s="171">
        <v>23</v>
      </c>
      <c r="B15" s="194">
        <f>INDEX(menuesBM!$1:$1048576,$A15,sprache)</f>
        <v>0</v>
      </c>
      <c r="C15" s="195">
        <v>0</v>
      </c>
      <c r="D15" s="178"/>
      <c r="E15" s="178"/>
      <c r="F15" s="173"/>
      <c r="G15" s="177" t="b">
        <f>IF(AND(C15&gt;0,C26&gt;0),FALSE,TRUE)</f>
        <v>1</v>
      </c>
    </row>
    <row r="16" spans="1:13" ht="18.75" customHeight="1">
      <c r="A16" s="171">
        <v>10</v>
      </c>
      <c r="B16" s="194">
        <f>INDEX(menuesBM!$1:$1048576,$A16,sprache)</f>
        <v>0</v>
      </c>
      <c r="C16" s="195">
        <v>0</v>
      </c>
      <c r="D16" s="178"/>
      <c r="E16" s="178"/>
      <c r="F16" s="179"/>
      <c r="G16" s="177" t="s">
        <v>352</v>
      </c>
    </row>
    <row r="17" spans="1:13" ht="18.75" customHeight="1">
      <c r="A17" s="171">
        <v>86</v>
      </c>
      <c r="B17" s="194">
        <f>INDEX(menuesBM!$1:$1048576,$A17,sprache)</f>
        <v>0</v>
      </c>
      <c r="C17" s="195">
        <v>0</v>
      </c>
      <c r="D17" s="178"/>
      <c r="E17" s="178"/>
      <c r="F17" s="179"/>
      <c r="G17" s="177" t="s">
        <v>352</v>
      </c>
    </row>
    <row r="18" spans="1:13" ht="18.75" customHeight="1">
      <c r="A18" s="171">
        <v>18</v>
      </c>
      <c r="B18" s="194">
        <f>INDEX(menuesBM!$1:$1048576,$A18,sprache)</f>
        <v>0</v>
      </c>
      <c r="C18" s="184">
        <v>0</v>
      </c>
      <c r="D18" s="178"/>
      <c r="E18" s="178"/>
      <c r="F18" s="179"/>
      <c r="G18" s="177" t="s">
        <v>352</v>
      </c>
    </row>
    <row r="19" spans="1:13" ht="18.75" customHeight="1">
      <c r="A19" s="171">
        <v>11</v>
      </c>
      <c r="B19" s="79">
        <f>INDEX(menuesBM!$1:$1048576,$A19,sprache)</f>
        <v>0</v>
      </c>
      <c r="C19" s="193"/>
      <c r="D19" s="178"/>
      <c r="E19" s="178"/>
      <c r="F19" s="179"/>
      <c r="G19" s="177" t="s">
        <v>352</v>
      </c>
    </row>
    <row r="20" spans="1:13" ht="18.75" customHeight="1">
      <c r="A20" s="171">
        <v>13</v>
      </c>
      <c r="B20" s="191">
        <f>INDEX(menuesBM!$1:$1048576,$A20,sprache)</f>
        <v>0</v>
      </c>
      <c r="C20" s="192">
        <f>C5</f>
        <v>1</v>
      </c>
      <c r="D20" s="178"/>
      <c r="E20" s="178"/>
      <c r="F20" s="179"/>
      <c r="G20" s="177" t="s">
        <v>352</v>
      </c>
      <c r="L20" s="188"/>
      <c r="M20" s="188"/>
    </row>
    <row r="21" spans="1:13" ht="18.75" customHeight="1">
      <c r="A21" s="171">
        <v>80</v>
      </c>
      <c r="B21" s="191">
        <f>INDEX(menuesBM!$1:$1048576,$A21,sprache)</f>
        <v>0</v>
      </c>
      <c r="C21" s="179"/>
      <c r="D21" s="178"/>
      <c r="E21" s="178"/>
      <c r="F21" s="179"/>
      <c r="G21" s="177" t="b">
        <f>IF(AND(BHKWbm&lt;3,C24&gt;0),FALSE,TRUE)</f>
        <v>1</v>
      </c>
      <c r="H21" s="171">
        <v>3</v>
      </c>
      <c r="L21" s="188"/>
      <c r="M21" s="188"/>
    </row>
    <row r="22" spans="1:13" ht="18.75" customHeight="1">
      <c r="A22" s="171">
        <v>103</v>
      </c>
      <c r="B22" s="191">
        <f>INDEX(menuesBM!$1:$1048576,$A22,sprache)</f>
        <v>0</v>
      </c>
      <c r="C22" s="190">
        <v>0</v>
      </c>
      <c r="D22" s="178"/>
      <c r="E22" s="178"/>
      <c r="F22" s="179"/>
      <c r="G22" s="172" t="b">
        <f>AND(0&lt;C22,C22&lt;=400)</f>
        <v>0</v>
      </c>
      <c r="L22" s="188"/>
      <c r="M22" s="188"/>
    </row>
    <row r="23" spans="1:13" ht="18.75" customHeight="1">
      <c r="A23" s="171">
        <v>55</v>
      </c>
      <c r="B23" s="172">
        <f>INDEX(menuesBM!$1:$1048576,$A23,sprache)</f>
        <v>0</v>
      </c>
      <c r="C23" s="189">
        <f>C20</f>
        <v>1</v>
      </c>
      <c r="D23" s="178"/>
      <c r="E23" s="178"/>
      <c r="F23" s="179"/>
      <c r="G23" s="177" t="s">
        <v>352</v>
      </c>
      <c r="L23" s="188"/>
      <c r="M23" s="188"/>
    </row>
    <row r="24" spans="1:13" ht="18.75" customHeight="1">
      <c r="A24" s="171">
        <v>99</v>
      </c>
      <c r="B24" s="187">
        <f>INDEX(menuesBM!$1:$1048576,$A24,sprache)</f>
        <v>0</v>
      </c>
      <c r="C24" s="184">
        <v>0</v>
      </c>
      <c r="D24" s="178"/>
      <c r="E24" s="178"/>
      <c r="F24" s="179"/>
      <c r="G24" s="177" t="s">
        <v>352</v>
      </c>
    </row>
    <row r="25" spans="1:13" ht="18.75" customHeight="1">
      <c r="A25" s="171">
        <v>100</v>
      </c>
      <c r="B25" s="187">
        <f>INDEX(menuesBM!$1:$1048576,$A25,sprache)</f>
        <v>0</v>
      </c>
      <c r="C25" s="184">
        <v>0</v>
      </c>
      <c r="D25" s="178"/>
      <c r="E25" s="178"/>
      <c r="F25" s="179"/>
      <c r="G25" s="177" t="s">
        <v>352</v>
      </c>
      <c r="L25" s="188"/>
      <c r="M25" s="188"/>
    </row>
    <row r="26" spans="1:13" ht="18.75" customHeight="1">
      <c r="A26" s="171">
        <v>14</v>
      </c>
      <c r="B26" s="187">
        <f>INDEX(menuesBM!$1:$1048576,$A26,sprache)</f>
        <v>0</v>
      </c>
      <c r="C26" s="184">
        <v>0</v>
      </c>
      <c r="D26" s="178"/>
      <c r="E26" s="178"/>
      <c r="F26" s="179"/>
      <c r="G26" s="177" t="b">
        <f>C26&lt;=(C24-C25)</f>
        <v>1</v>
      </c>
      <c r="H26" s="182">
        <v>0.8</v>
      </c>
    </row>
    <row r="27" spans="1:13" ht="18.75" customHeight="1">
      <c r="A27" s="171">
        <v>32</v>
      </c>
      <c r="B27" s="183">
        <f>INDEX(menuesBM!$1:$1048576,$A27,sprache)</f>
        <v>0</v>
      </c>
      <c r="C27" s="184">
        <v>0</v>
      </c>
      <c r="D27" s="186">
        <v>0.1</v>
      </c>
      <c r="E27" s="178"/>
      <c r="F27" s="179"/>
      <c r="G27" s="172" t="b">
        <f>D27&lt;H27</f>
        <v>1</v>
      </c>
      <c r="H27" s="182">
        <v>0.2</v>
      </c>
      <c r="L27" s="185"/>
      <c r="M27" s="185"/>
    </row>
    <row r="28" spans="1:13" ht="18.75" customHeight="1">
      <c r="A28" s="171">
        <v>43</v>
      </c>
      <c r="B28" s="183">
        <f>INDEX(menuesBM!$1:$1048576,$A28,sprache)</f>
        <v>0</v>
      </c>
      <c r="C28" s="184">
        <v>0</v>
      </c>
      <c r="D28" s="181"/>
      <c r="E28" s="178"/>
      <c r="F28" s="179"/>
      <c r="G28" s="177" t="s">
        <v>352</v>
      </c>
    </row>
    <row r="29" spans="1:13" ht="18.75" customHeight="1">
      <c r="A29" s="171">
        <v>62</v>
      </c>
      <c r="B29" s="183">
        <f>INDEX(menuesBM!$1:$1048576,$A29,sprache)</f>
        <v>0</v>
      </c>
      <c r="C29" s="181">
        <f>C28+C27*(1-D27)</f>
        <v>0</v>
      </c>
      <c r="D29" s="181"/>
      <c r="E29" s="178"/>
      <c r="F29" s="179"/>
      <c r="G29" s="177" t="s">
        <v>352</v>
      </c>
      <c r="H29" s="182">
        <v>0.9</v>
      </c>
    </row>
    <row r="30" spans="1:13" ht="18.75" customHeight="1">
      <c r="A30" s="171">
        <v>102</v>
      </c>
      <c r="B30" s="172">
        <f>INDEX(menuesBM!$1:$1048576,$A30,sprache)</f>
        <v>0</v>
      </c>
      <c r="C30" s="181">
        <f>C29+C26</f>
        <v>0</v>
      </c>
      <c r="D30" s="181"/>
      <c r="E30" s="180">
        <f>C30/(C5+C13)</f>
        <v>0</v>
      </c>
      <c r="F30" s="179"/>
      <c r="G30" s="177" t="b">
        <f>IF(OR(AND(BHKWbm&lt;3,E30&lt;H29),AND(BHKWbm&gt;2,E30&lt;H26)),FALSE,TRUE)</f>
        <v>0</v>
      </c>
      <c r="H30" s="171">
        <v>3</v>
      </c>
    </row>
    <row r="31" spans="1:13" ht="18.75" customHeight="1">
      <c r="A31" s="171">
        <v>15</v>
      </c>
      <c r="B31" s="123" t="str">
        <f>INDEX(menuesBM!$1:$1048576,$A31,sprache)&amp;nameBM</f>
        <v>Test</v>
      </c>
      <c r="C31" s="178"/>
      <c r="D31" s="178">
        <f>UmweltdeklarationBM!B11</f>
        <v>0</v>
      </c>
      <c r="E31" s="178"/>
      <c r="F31" s="124"/>
      <c r="G31" s="177" t="s">
        <v>352</v>
      </c>
    </row>
    <row r="32" spans="1:13" ht="18.75" customHeight="1">
      <c r="A32" s="171">
        <v>29</v>
      </c>
      <c r="B32" s="172">
        <f>INDEX(menuesBM!$1:$1048576,$A32,sprache)</f>
        <v>0</v>
      </c>
      <c r="C32" s="176">
        <f>UmweltdeklarationBM!H9</f>
        <v>6.5071313039262845E-3</v>
      </c>
      <c r="D32" s="176">
        <f>UmweltdeklarationBM!D22</f>
        <v>0</v>
      </c>
      <c r="E32" s="175" t="e">
        <f>C32/D32</f>
        <v>#DIV/0!</v>
      </c>
      <c r="F32" s="124"/>
      <c r="G32" s="172" t="e">
        <f>E32&lt;1</f>
        <v>#DIV/0!</v>
      </c>
    </row>
    <row r="33" spans="2:7" ht="18" customHeight="1">
      <c r="B33" s="123" t="e">
        <f>IF(G33,INDEX(menuesBM!$1:$1048576,26,sprache),INDEX(menuesBM!$1:$1048576,27,sprache))</f>
        <v>#DIV/0!</v>
      </c>
      <c r="C33" s="173"/>
      <c r="D33" s="174"/>
      <c r="E33" s="174"/>
      <c r="F33" s="173"/>
      <c r="G33" s="172" t="e">
        <f>AND(G3:G32)</f>
        <v>#DIV/0!</v>
      </c>
    </row>
  </sheetData>
  <conditionalFormatting sqref="E32">
    <cfRule type="cellIs" dxfId="5" priority="3" stopIfTrue="1" operator="greaterThan">
      <formula>1</formula>
    </cfRule>
    <cfRule type="cellIs" dxfId="4" priority="4" stopIfTrue="1" operator="lessThanOrEqual">
      <formula>1</formula>
    </cfRule>
  </conditionalFormatting>
  <conditionalFormatting sqref="G3:G14 G16:G33">
    <cfRule type="cellIs" dxfId="3" priority="5" stopIfTrue="1" operator="equal">
      <formula>FALSE</formula>
    </cfRule>
    <cfRule type="cellIs" dxfId="2" priority="6" stopIfTrue="1" operator="equal">
      <formula>TRUE</formula>
    </cfRule>
  </conditionalFormatting>
  <conditionalFormatting sqref="G15">
    <cfRule type="cellIs" dxfId="1" priority="1" stopIfTrue="1" operator="equal">
      <formula>FALSE</formula>
    </cfRule>
    <cfRule type="cellIs" dxfId="0" priority="2" stopIfTrue="1" operator="equal">
      <formula>TRUE</formula>
    </cfRule>
  </conditionalFormatting>
  <hyperlinks>
    <hyperlink ref="B12" location="Prüfung!A1" display="Prüfung!A1" xr:uid="{00000000-0004-0000-0500-000000000000}"/>
  </hyperlinks>
  <printOptions horizontalCentered="1" verticalCentered="1"/>
  <pageMargins left="0.78740157480314965" right="0.78740157480314965" top="0.78740157480314965" bottom="0.82677165354330717" header="0.51181102362204722" footer="0.51181102362204722"/>
  <pageSetup paperSize="9" scale="79" orientation="landscape" r:id="rId1"/>
  <headerFooter alignWithMargins="0">
    <oddHeader>&amp;Lnaturemade Star globales Kriterium&amp;C&amp;D&amp;RBiomethan-Nutzung</oddHeader>
    <oddFooter>&amp;L(c) ESU-services GmbH 2013&amp;Cwww.esu-services.ch&amp;R&amp;F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7425" r:id="rId4" name="Drop Down 17">
              <controlPr defaultSize="0" autoLine="0" autoPict="0">
                <anchor moveWithCells="1">
                  <from>
                    <xdr:col>1</xdr:col>
                    <xdr:colOff>2085975</xdr:colOff>
                    <xdr:row>16</xdr:row>
                    <xdr:rowOff>123825</xdr:rowOff>
                  </from>
                  <to>
                    <xdr:col>1</xdr:col>
                    <xdr:colOff>3867150</xdr:colOff>
                    <xdr:row>17</xdr:row>
                    <xdr:rowOff>47625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37"/>
  <sheetViews>
    <sheetView workbookViewId="0"/>
  </sheetViews>
  <sheetFormatPr baseColWidth="10" defaultColWidth="10.85546875" defaultRowHeight="12"/>
  <cols>
    <col min="1" max="1" width="33.5703125" style="402" customWidth="1"/>
    <col min="2" max="2" width="105" style="402" customWidth="1"/>
    <col min="3" max="16384" width="10.85546875" style="404"/>
  </cols>
  <sheetData>
    <row r="1" spans="1:7">
      <c r="B1" s="403" t="s">
        <v>1278</v>
      </c>
    </row>
    <row r="2" spans="1:7" s="407" customFormat="1">
      <c r="A2" s="405"/>
      <c r="B2" s="403" t="s">
        <v>1279</v>
      </c>
      <c r="C2" s="406"/>
      <c r="D2" s="406"/>
      <c r="E2" s="406"/>
      <c r="F2" s="406"/>
      <c r="G2" s="406"/>
    </row>
    <row r="3" spans="1:7" s="411" customFormat="1">
      <c r="A3" s="408">
        <f ca="1">TODAY()</f>
        <v>44285</v>
      </c>
      <c r="B3" s="409" t="s">
        <v>1280</v>
      </c>
      <c r="C3" s="410"/>
    </row>
    <row r="4" spans="1:7" ht="16.5" customHeight="1">
      <c r="B4" s="412"/>
    </row>
    <row r="5" spans="1:7" s="415" customFormat="1">
      <c r="A5" s="413" t="s">
        <v>1281</v>
      </c>
      <c r="B5" s="414" t="s">
        <v>1282</v>
      </c>
    </row>
    <row r="6" spans="1:7">
      <c r="A6" s="413" t="s">
        <v>1283</v>
      </c>
      <c r="B6" s="402" t="s">
        <v>894</v>
      </c>
    </row>
    <row r="7" spans="1:7">
      <c r="A7" s="413" t="s">
        <v>1284</v>
      </c>
      <c r="C7" s="416"/>
    </row>
    <row r="8" spans="1:7">
      <c r="A8" s="413"/>
      <c r="B8" s="417" t="s">
        <v>1285</v>
      </c>
      <c r="C8" s="416"/>
    </row>
    <row r="9" spans="1:7" ht="24">
      <c r="A9" s="418" t="s">
        <v>1286</v>
      </c>
      <c r="B9" s="411" t="s">
        <v>1287</v>
      </c>
    </row>
    <row r="10" spans="1:7">
      <c r="B10" s="419" t="s">
        <v>1288</v>
      </c>
    </row>
    <row r="11" spans="1:7">
      <c r="B11" s="419" t="s">
        <v>1289</v>
      </c>
    </row>
    <row r="12" spans="1:7">
      <c r="B12" s="419" t="s">
        <v>1290</v>
      </c>
    </row>
    <row r="13" spans="1:7">
      <c r="B13" s="419" t="s">
        <v>1291</v>
      </c>
    </row>
    <row r="14" spans="1:7" s="415" customFormat="1">
      <c r="A14" s="420" t="s">
        <v>1292</v>
      </c>
      <c r="B14" s="421"/>
    </row>
    <row r="15" spans="1:7" s="415" customFormat="1" ht="24">
      <c r="A15" s="418" t="s">
        <v>1293</v>
      </c>
      <c r="B15" s="422" t="s">
        <v>1294</v>
      </c>
      <c r="C15" s="422"/>
    </row>
    <row r="16" spans="1:7" s="415" customFormat="1" ht="36">
      <c r="A16" s="418"/>
      <c r="B16" s="422" t="s">
        <v>1295</v>
      </c>
      <c r="C16" s="422"/>
    </row>
    <row r="17" spans="1:3" s="415" customFormat="1" ht="96">
      <c r="A17" s="418" t="s">
        <v>1296</v>
      </c>
      <c r="B17" s="422" t="s">
        <v>1297</v>
      </c>
      <c r="C17" s="422"/>
    </row>
    <row r="18" spans="1:3" s="415" customFormat="1" ht="24">
      <c r="A18" s="423" t="s">
        <v>1298</v>
      </c>
      <c r="B18" s="424" t="s">
        <v>1299</v>
      </c>
      <c r="C18" s="422"/>
    </row>
    <row r="19" spans="1:3" s="415" customFormat="1" ht="24">
      <c r="A19" s="423"/>
      <c r="B19" s="424" t="s">
        <v>1300</v>
      </c>
      <c r="C19" s="425"/>
    </row>
    <row r="20" spans="1:3" s="415" customFormat="1" ht="24">
      <c r="A20" s="423"/>
      <c r="B20" s="424" t="s">
        <v>1301</v>
      </c>
      <c r="C20" s="422"/>
    </row>
    <row r="21" spans="1:3" s="415" customFormat="1">
      <c r="A21" s="423"/>
      <c r="B21" s="424"/>
      <c r="C21" s="426"/>
    </row>
    <row r="22" spans="1:3" ht="24">
      <c r="A22" s="423" t="s">
        <v>1302</v>
      </c>
      <c r="B22" s="424" t="s">
        <v>1303</v>
      </c>
    </row>
    <row r="23" spans="1:3">
      <c r="A23" s="423"/>
      <c r="B23" s="424" t="s">
        <v>1304</v>
      </c>
    </row>
    <row r="24" spans="1:3">
      <c r="A24" s="423"/>
      <c r="B24" s="424" t="s">
        <v>1305</v>
      </c>
    </row>
    <row r="25" spans="1:3" ht="24">
      <c r="A25" s="423"/>
      <c r="B25" s="424" t="s">
        <v>1306</v>
      </c>
    </row>
    <row r="26" spans="1:3">
      <c r="A26" s="423"/>
      <c r="B26" s="424" t="s">
        <v>1307</v>
      </c>
    </row>
    <row r="27" spans="1:3">
      <c r="A27" s="423"/>
      <c r="B27" s="424" t="s">
        <v>1308</v>
      </c>
    </row>
    <row r="28" spans="1:3">
      <c r="A28" s="423"/>
      <c r="B28" s="424"/>
    </row>
    <row r="29" spans="1:3" ht="24">
      <c r="A29" s="423" t="s">
        <v>1309</v>
      </c>
      <c r="B29" s="424" t="s">
        <v>1310</v>
      </c>
    </row>
    <row r="30" spans="1:3" ht="24">
      <c r="A30" s="423"/>
      <c r="B30" s="424" t="s">
        <v>1311</v>
      </c>
    </row>
    <row r="31" spans="1:3" ht="24">
      <c r="A31" s="423"/>
      <c r="B31" s="424" t="s">
        <v>1312</v>
      </c>
    </row>
    <row r="33" spans="1:2">
      <c r="A33" s="424" t="s">
        <v>1313</v>
      </c>
      <c r="B33" s="427" t="s">
        <v>1314</v>
      </c>
    </row>
    <row r="34" spans="1:2">
      <c r="B34" s="428" t="s">
        <v>1315</v>
      </c>
    </row>
    <row r="36" spans="1:2">
      <c r="A36" s="402" t="s">
        <v>1316</v>
      </c>
      <c r="B36" s="402" t="s">
        <v>1317</v>
      </c>
    </row>
    <row r="37" spans="1:2">
      <c r="A37" s="402" t="s">
        <v>1318</v>
      </c>
      <c r="B37" s="402" t="s">
        <v>1319</v>
      </c>
    </row>
  </sheetData>
  <hyperlinks>
    <hyperlink ref="B8" r:id="rId1" xr:uid="{00000000-0004-0000-0B00-000000000000}"/>
  </hyperlinks>
  <pageMargins left="0.75" right="0.75" top="1" bottom="1" header="0.4921259845" footer="0.4921259845"/>
  <pageSetup paperSize="9" scale="69" orientation="portrait" horizontalDpi="1200" verticalDpi="1200" r:id="rId2"/>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M125"/>
  <sheetViews>
    <sheetView workbookViewId="0"/>
  </sheetViews>
  <sheetFormatPr baseColWidth="10" defaultColWidth="11.42578125" defaultRowHeight="12" outlineLevelRow="1" outlineLevelCol="1"/>
  <cols>
    <col min="1" max="1" width="5.85546875" style="457" customWidth="1"/>
    <col min="2" max="2" width="16" style="555" customWidth="1"/>
    <col min="3" max="3" width="3.7109375" style="556" hidden="1" customWidth="1" outlineLevel="1"/>
    <col min="4" max="4" width="4.140625" style="457" hidden="1" customWidth="1" outlineLevel="1"/>
    <col min="5" max="5" width="4" style="457" hidden="1" customWidth="1" outlineLevel="1"/>
    <col min="6" max="6" width="48.140625" style="457" customWidth="1" collapsed="1"/>
    <col min="7" max="7" width="6" style="457" customWidth="1"/>
    <col min="8" max="8" width="8.28515625" style="457" hidden="1" customWidth="1" outlineLevel="1"/>
    <col min="9" max="9" width="19.5703125" style="457" hidden="1" customWidth="1" outlineLevel="1"/>
    <col min="10" max="10" width="2.7109375" style="457" customWidth="1" collapsed="1"/>
    <col min="11" max="11" width="5.140625" style="457" customWidth="1"/>
    <col min="12" max="12" width="14" style="457" customWidth="1"/>
    <col min="13" max="13" width="3.5703125" style="557" hidden="1" customWidth="1" outlineLevel="1"/>
    <col min="14" max="14" width="6.5703125" style="557" hidden="1" customWidth="1" outlineLevel="1"/>
    <col min="15" max="15" width="36.85546875" style="557" hidden="1" customWidth="1" outlineLevel="1"/>
    <col min="16" max="16" width="14" style="457" customWidth="1" collapsed="1"/>
    <col min="17" max="17" width="3.5703125" style="557" hidden="1" customWidth="1" outlineLevel="1"/>
    <col min="18" max="18" width="6.5703125" style="557" hidden="1" customWidth="1" outlineLevel="1"/>
    <col min="19" max="19" width="50.28515625" style="557" hidden="1" customWidth="1" outlineLevel="1"/>
    <col min="20" max="20" width="13.85546875" style="500" customWidth="1" collapsed="1"/>
    <col min="21" max="21" width="85.42578125" style="453" customWidth="1"/>
    <col min="22" max="22" width="28.85546875" style="453" customWidth="1"/>
    <col min="23" max="23" width="20" style="453" bestFit="1" customWidth="1"/>
    <col min="24" max="24" width="4.140625" style="453" customWidth="1"/>
    <col min="25" max="25" width="4.42578125" style="453" customWidth="1"/>
    <col min="26" max="26" width="4.28515625" style="453" customWidth="1"/>
    <col min="27" max="27" width="4" style="453" customWidth="1"/>
    <col min="28" max="28" width="3.7109375" style="453" customWidth="1"/>
    <col min="29" max="29" width="3.42578125" style="453" hidden="1" customWidth="1" outlineLevel="1"/>
    <col min="30" max="30" width="4.7109375" style="457" hidden="1" customWidth="1" outlineLevel="1"/>
    <col min="31" max="32" width="5.42578125" style="457" hidden="1" customWidth="1" outlineLevel="1"/>
    <col min="33" max="33" width="14.85546875" style="457" hidden="1" customWidth="1" outlineLevel="1"/>
    <col min="34" max="34" width="4.42578125" style="457" hidden="1" customWidth="1" outlineLevel="1"/>
    <col min="35" max="35" width="4.28515625" style="457" hidden="1" customWidth="1" outlineLevel="1"/>
    <col min="36" max="36" width="4" style="457" hidden="1" customWidth="1" outlineLevel="1"/>
    <col min="37" max="37" width="4.42578125" style="457" hidden="1" customWidth="1" outlineLevel="1"/>
    <col min="38" max="38" width="3.85546875" style="457" hidden="1" customWidth="1" outlineLevel="1"/>
    <col min="39" max="39" width="11.42578125" style="457" collapsed="1"/>
    <col min="40" max="16384" width="11.42578125" style="457"/>
  </cols>
  <sheetData>
    <row r="1" spans="1:39">
      <c r="A1" s="494"/>
      <c r="B1" s="495"/>
      <c r="C1" s="496"/>
      <c r="D1" s="494"/>
      <c r="E1" s="494"/>
      <c r="F1" s="497" t="s">
        <v>1415</v>
      </c>
      <c r="G1" s="494"/>
      <c r="H1" s="494"/>
      <c r="I1" s="494"/>
      <c r="J1" s="494"/>
      <c r="K1" s="494"/>
      <c r="L1" s="498">
        <f>A7</f>
        <v>848</v>
      </c>
      <c r="M1" s="499"/>
      <c r="N1" s="499"/>
      <c r="O1" s="499"/>
      <c r="P1" s="498" t="str">
        <f>A8</f>
        <v>208-01</v>
      </c>
      <c r="Q1" s="499"/>
      <c r="R1" s="499"/>
      <c r="S1" s="499"/>
      <c r="U1" s="500"/>
      <c r="V1" s="500"/>
      <c r="W1" s="500"/>
      <c r="X1" s="1070" t="s">
        <v>1416</v>
      </c>
      <c r="Y1" s="1070"/>
      <c r="Z1" s="1070"/>
      <c r="AA1" s="1070"/>
      <c r="AB1" s="1070"/>
      <c r="AD1" s="453"/>
      <c r="AE1" s="453"/>
      <c r="AF1" s="453"/>
      <c r="AG1" s="453"/>
    </row>
    <row r="2" spans="1:39">
      <c r="A2" s="494"/>
      <c r="B2" s="501"/>
      <c r="C2" s="496" t="s">
        <v>1321</v>
      </c>
      <c r="D2" s="501">
        <v>3503</v>
      </c>
      <c r="E2" s="501">
        <v>3504</v>
      </c>
      <c r="F2" s="501">
        <v>3702</v>
      </c>
      <c r="G2" s="501">
        <v>3703</v>
      </c>
      <c r="H2" s="501">
        <v>3506</v>
      </c>
      <c r="I2" s="501">
        <v>3507</v>
      </c>
      <c r="J2" s="501">
        <v>3508</v>
      </c>
      <c r="K2" s="501">
        <v>3706</v>
      </c>
      <c r="L2" s="501">
        <v>3707</v>
      </c>
      <c r="M2" s="502">
        <v>3708</v>
      </c>
      <c r="N2" s="502">
        <v>3709</v>
      </c>
      <c r="O2" s="503">
        <v>3792</v>
      </c>
      <c r="P2" s="501">
        <v>3707</v>
      </c>
      <c r="Q2" s="502">
        <v>3708</v>
      </c>
      <c r="R2" s="502">
        <v>3709</v>
      </c>
      <c r="S2" s="504">
        <v>3792</v>
      </c>
      <c r="U2" s="505"/>
      <c r="W2" s="505"/>
    </row>
    <row r="3" spans="1:39" ht="117" customHeight="1">
      <c r="A3" s="494" t="s">
        <v>1417</v>
      </c>
      <c r="B3" s="435"/>
      <c r="C3" s="496">
        <v>401</v>
      </c>
      <c r="D3" s="506" t="s">
        <v>1418</v>
      </c>
      <c r="E3" s="506" t="s">
        <v>1419</v>
      </c>
      <c r="F3" s="507" t="s">
        <v>1324</v>
      </c>
      <c r="G3" s="508" t="s">
        <v>1242</v>
      </c>
      <c r="H3" s="508" t="s">
        <v>1345</v>
      </c>
      <c r="I3" s="508" t="s">
        <v>1346</v>
      </c>
      <c r="J3" s="508" t="s">
        <v>1420</v>
      </c>
      <c r="K3" s="508" t="s">
        <v>533</v>
      </c>
      <c r="L3" s="436" t="str">
        <f>"Gesamtbelastung, "&amp;name</f>
        <v xml:space="preserve">Gesamtbelastung, </v>
      </c>
      <c r="M3" s="509" t="s">
        <v>1421</v>
      </c>
      <c r="N3" s="509" t="s">
        <v>1422</v>
      </c>
      <c r="O3" s="510" t="s">
        <v>1342</v>
      </c>
      <c r="P3" s="436" t="str">
        <f>"Prüfwert, "&amp;name</f>
        <v xml:space="preserve">Prüfwert, </v>
      </c>
      <c r="Q3" s="509" t="s">
        <v>1421</v>
      </c>
      <c r="R3" s="509" t="s">
        <v>1422</v>
      </c>
      <c r="S3" s="511" t="s">
        <v>1342</v>
      </c>
      <c r="T3" s="500" t="s">
        <v>1608</v>
      </c>
      <c r="U3" s="507" t="s">
        <v>1423</v>
      </c>
      <c r="V3" s="505" t="s">
        <v>1424</v>
      </c>
      <c r="W3" s="505" t="s">
        <v>1423</v>
      </c>
      <c r="X3" s="512" t="s">
        <v>1425</v>
      </c>
      <c r="Y3" s="512" t="s">
        <v>1426</v>
      </c>
      <c r="Z3" s="512" t="s">
        <v>1427</v>
      </c>
      <c r="AA3" s="512" t="s">
        <v>1428</v>
      </c>
      <c r="AB3" s="512" t="s">
        <v>1429</v>
      </c>
      <c r="AC3" s="513" t="s">
        <v>1430</v>
      </c>
      <c r="AD3" s="513" t="s">
        <v>1431</v>
      </c>
      <c r="AE3" s="512" t="s">
        <v>1432</v>
      </c>
      <c r="AF3" s="514" t="s">
        <v>35</v>
      </c>
      <c r="AG3" s="508" t="s">
        <v>1433</v>
      </c>
      <c r="AH3" s="515" t="s">
        <v>1425</v>
      </c>
      <c r="AI3" s="515" t="s">
        <v>1426</v>
      </c>
      <c r="AJ3" s="515" t="s">
        <v>1427</v>
      </c>
      <c r="AK3" s="515" t="s">
        <v>1428</v>
      </c>
      <c r="AL3" s="515" t="s">
        <v>1429</v>
      </c>
    </row>
    <row r="4" spans="1:39" ht="12.75" customHeight="1">
      <c r="A4" s="494"/>
      <c r="B4" s="435"/>
      <c r="C4" s="496">
        <v>662</v>
      </c>
      <c r="D4" s="516"/>
      <c r="E4" s="516"/>
      <c r="F4" s="507" t="s">
        <v>1242</v>
      </c>
      <c r="G4" s="507"/>
      <c r="H4" s="507"/>
      <c r="I4" s="507"/>
      <c r="J4" s="507"/>
      <c r="K4" s="507"/>
      <c r="L4" s="436" t="e">
        <f>INDEX(menuesBG!$G$108:$G$111,Standort,1)</f>
        <v>#N/A</v>
      </c>
      <c r="M4" s="517"/>
      <c r="N4" s="517"/>
      <c r="O4" s="518"/>
      <c r="P4" s="436" t="e">
        <f>INDEX(menuesBG!$G$108:$G$111,Standort,1)</f>
        <v>#N/A</v>
      </c>
      <c r="Q4" s="517"/>
      <c r="R4" s="517"/>
      <c r="S4" s="518"/>
      <c r="U4" s="507" t="s">
        <v>1414</v>
      </c>
      <c r="V4" s="519"/>
      <c r="W4" s="519"/>
      <c r="X4" s="520" t="s">
        <v>1434</v>
      </c>
      <c r="AC4" s="516"/>
      <c r="AD4" s="516"/>
      <c r="AE4" s="521" t="s">
        <v>1435</v>
      </c>
      <c r="AF4" s="522" t="s">
        <v>1435</v>
      </c>
      <c r="AG4" s="523"/>
    </row>
    <row r="5" spans="1:39">
      <c r="A5" s="494"/>
      <c r="B5" s="435"/>
      <c r="C5" s="496">
        <v>493</v>
      </c>
      <c r="D5" s="516"/>
      <c r="E5" s="516"/>
      <c r="F5" s="507" t="s">
        <v>1420</v>
      </c>
      <c r="G5" s="507"/>
      <c r="H5" s="507"/>
      <c r="I5" s="507"/>
      <c r="J5" s="507"/>
      <c r="K5" s="507"/>
      <c r="L5" s="436">
        <v>0</v>
      </c>
      <c r="M5" s="517"/>
      <c r="N5" s="517"/>
      <c r="O5" s="518"/>
      <c r="P5" s="436">
        <v>0</v>
      </c>
      <c r="Q5" s="517"/>
      <c r="R5" s="517"/>
      <c r="S5" s="518"/>
      <c r="U5" s="507">
        <v>2009</v>
      </c>
      <c r="V5" s="500"/>
      <c r="W5" s="500"/>
      <c r="AD5" s="453"/>
      <c r="AE5" s="453"/>
      <c r="AF5" s="524"/>
      <c r="AG5" s="453"/>
    </row>
    <row r="6" spans="1:39" ht="12.75" customHeight="1">
      <c r="A6" s="494"/>
      <c r="B6" s="435"/>
      <c r="C6" s="496">
        <v>403</v>
      </c>
      <c r="D6" s="516"/>
      <c r="E6" s="516"/>
      <c r="F6" s="507" t="s">
        <v>533</v>
      </c>
      <c r="G6" s="507"/>
      <c r="H6" s="507"/>
      <c r="I6" s="507"/>
      <c r="J6" s="507"/>
      <c r="K6" s="507"/>
      <c r="L6" s="436" t="s">
        <v>347</v>
      </c>
      <c r="M6" s="517"/>
      <c r="N6" s="517"/>
      <c r="O6" s="518"/>
      <c r="P6" s="436" t="s">
        <v>347</v>
      </c>
      <c r="Q6" s="517"/>
      <c r="R6" s="517"/>
      <c r="S6" s="518"/>
      <c r="U6" s="507" t="s">
        <v>75</v>
      </c>
      <c r="V6" s="500"/>
      <c r="W6" s="500"/>
      <c r="X6" s="525"/>
      <c r="Y6" s="525"/>
      <c r="Z6" s="525"/>
      <c r="AA6" s="525"/>
      <c r="AB6" s="525"/>
      <c r="AD6" s="453"/>
      <c r="AE6" s="526"/>
      <c r="AF6" s="527"/>
      <c r="AG6" s="528"/>
    </row>
    <row r="7" spans="1:39">
      <c r="A7" s="433">
        <v>848</v>
      </c>
      <c r="B7" s="529" t="s">
        <v>1436</v>
      </c>
      <c r="C7" s="450"/>
      <c r="D7" s="530" t="s">
        <v>340</v>
      </c>
      <c r="E7" s="531">
        <v>0</v>
      </c>
      <c r="F7" s="532" t="str">
        <f>L3</f>
        <v xml:space="preserve">Gesamtbelastung, </v>
      </c>
      <c r="G7" s="533" t="e">
        <f>L4</f>
        <v>#N/A</v>
      </c>
      <c r="H7" s="534" t="str">
        <f t="shared" ref="H7:H18" ca="1" si="0">IF(OR(D7=4,E7=4),INDEX(INDIRECT(names&amp;"NamesElementary'!$1:$65536"),MATCH($A7,INDIRECT(names&amp;"NamesElementary'!$A:$A"),0),4),"-")</f>
        <v>-</v>
      </c>
      <c r="I7" s="534" t="str">
        <f t="shared" ref="I7:I18" ca="1" si="1">IF(OR(D7=4,E7=4),INDEX(INDIRECT(names&amp;"NamesElementary'!$1:$65536"),MATCH($A7,INDIRECT(names&amp;"NamesElementary'!$A:$A"),0),5),"-")</f>
        <v>-</v>
      </c>
      <c r="J7" s="535">
        <v>0</v>
      </c>
      <c r="K7" s="533" t="s">
        <v>347</v>
      </c>
      <c r="L7" s="536">
        <f>IF($A7=L$1,1,0)</f>
        <v>1</v>
      </c>
      <c r="M7" s="537"/>
      <c r="N7" s="538"/>
      <c r="O7" s="539"/>
      <c r="P7" s="536">
        <f>IF($A7=P$1,1,0)</f>
        <v>0</v>
      </c>
      <c r="Q7" s="537"/>
      <c r="R7" s="538"/>
      <c r="S7" s="539"/>
      <c r="U7" s="540"/>
      <c r="V7" s="541"/>
      <c r="W7" s="541"/>
      <c r="X7" s="498"/>
      <c r="Y7" s="498"/>
      <c r="Z7" s="498"/>
      <c r="AA7" s="498"/>
      <c r="AB7" s="498"/>
      <c r="AC7" s="498"/>
      <c r="AD7" s="542"/>
      <c r="AE7" s="543"/>
      <c r="AF7" s="544"/>
      <c r="AG7" s="545"/>
      <c r="AH7" s="546"/>
      <c r="AI7" s="546"/>
      <c r="AJ7" s="546"/>
      <c r="AK7" s="546"/>
      <c r="AL7" s="546"/>
    </row>
    <row r="8" spans="1:39" outlineLevel="1">
      <c r="A8" s="433" t="s">
        <v>1437</v>
      </c>
      <c r="B8" s="529"/>
      <c r="C8" s="450"/>
      <c r="D8" s="530" t="s">
        <v>340</v>
      </c>
      <c r="E8" s="531">
        <v>0</v>
      </c>
      <c r="F8" s="532" t="str">
        <f>P3</f>
        <v xml:space="preserve">Prüfwert, </v>
      </c>
      <c r="G8" s="533" t="e">
        <f>P4</f>
        <v>#N/A</v>
      </c>
      <c r="H8" s="534" t="str">
        <f ca="1">IF(OR(D8=4,E8=4),INDEX(INDIRECT(names&amp;"NamesElementary'!$1:$65536"),MATCH($A8,INDIRECT(names&amp;"NamesElementary'!$A:$A"),0),4),"-")</f>
        <v>-</v>
      </c>
      <c r="I8" s="534" t="str">
        <f ca="1">IF(OR(D8=4,E8=4),INDEX(INDIRECT(names&amp;"NamesElementary'!$1:$65536"),MATCH($A8,INDIRECT(names&amp;"NamesElementary'!$A:$A"),0),5),"-")</f>
        <v>-</v>
      </c>
      <c r="J8" s="535">
        <v>0</v>
      </c>
      <c r="K8" s="533" t="s">
        <v>347</v>
      </c>
      <c r="L8" s="536">
        <f>IF($A8=L$1,1,0)</f>
        <v>0</v>
      </c>
      <c r="M8" s="537"/>
      <c r="N8" s="538"/>
      <c r="O8" s="539"/>
      <c r="P8" s="536">
        <f>IF($A8=P$1,1,0)</f>
        <v>1</v>
      </c>
      <c r="Q8" s="537"/>
      <c r="R8" s="538"/>
      <c r="S8" s="539"/>
      <c r="U8" s="540"/>
      <c r="V8" s="541"/>
      <c r="W8" s="541"/>
      <c r="X8" s="498"/>
      <c r="Y8" s="498"/>
      <c r="Z8" s="498"/>
      <c r="AA8" s="498"/>
      <c r="AB8" s="498"/>
      <c r="AC8" s="498"/>
      <c r="AD8" s="542"/>
      <c r="AE8" s="543"/>
      <c r="AF8" s="544"/>
      <c r="AG8" s="545"/>
      <c r="AH8" s="546"/>
      <c r="AI8" s="546"/>
      <c r="AJ8" s="546"/>
      <c r="AK8" s="546"/>
      <c r="AL8" s="546"/>
    </row>
    <row r="9" spans="1:39" ht="12.75">
      <c r="A9" s="560">
        <v>6905</v>
      </c>
      <c r="B9" s="529"/>
      <c r="C9" s="450" t="s">
        <v>352</v>
      </c>
      <c r="D9" s="547">
        <v>5</v>
      </c>
      <c r="E9" s="548" t="s">
        <v>340</v>
      </c>
      <c r="F9" s="444" t="e">
        <f t="shared" ref="F9:F18" ca="1" si="2">IF(OR(D9=4,E9=4),INDEX(INDIRECT(names&amp;"NamesElementary'!$1:$65536"),MATCH(A9,INDIRECT(names&amp;"NamesElementary'!$A:$A"),0),2),INDEX(INDIRECT(names&amp;"Names'!$1:$65536"),MATCH(A9,INDIRECT(names&amp;"Names'!$F:$F"),0),10))</f>
        <v>#REF!</v>
      </c>
      <c r="G9" s="549" t="e">
        <f t="shared" ref="G9:G18" ca="1" si="3">IF(OR(D9=4,E9=4),"-",INDEX(INDIRECT(names&amp;"Names'!$1:$65536"),MATCH(A9,INDIRECT(names&amp;"Names'!$F:$F"),0),11))</f>
        <v>#REF!</v>
      </c>
      <c r="H9" s="550" t="str">
        <f t="shared" ca="1" si="0"/>
        <v>-</v>
      </c>
      <c r="I9" s="550" t="str">
        <f t="shared" ca="1" si="1"/>
        <v>-</v>
      </c>
      <c r="J9" s="551" t="e">
        <f t="shared" ref="J9:J18" ca="1" si="4">IF(OR(D9=4,E9=4),"-",INDEX(INDIRECT(names&amp;"Names'!$1:$65536"),MATCH(A9,INDIRECT(names&amp;"Names'!$F:$F"),0),14))</f>
        <v>#REF!</v>
      </c>
      <c r="K9" s="549" t="e">
        <f t="shared" ref="K9:K18" ca="1" si="5">IF(OR(D9=4,E9=4),INDEX(INDIRECT(names&amp;"NamesElementary'!$1:$65536"),MATCH(A9,INDIRECT(names&amp;"NamesElementary'!$A:$A"),0),7),INDEX(INDIRECT(names&amp;"Names'!$1:$65536"),MATCH(A9,INDIRECT(names&amp;"Names'!$F:$F"),0),15))</f>
        <v>#REF!</v>
      </c>
      <c r="L9" s="552" t="e">
        <f>INDEX(LCIAbg!$1:$1048576,7,MATCH('X-Exchange'!$U9,LCIAbg!$15:$15,0))*T9</f>
        <v>#N/A</v>
      </c>
      <c r="M9" s="537">
        <v>1</v>
      </c>
      <c r="N9" s="538" t="e">
        <f ca="1">$AF9</f>
        <v>#REF!</v>
      </c>
      <c r="O9" s="539" t="e">
        <f t="shared" ref="O9:O70" ca="1" si="6">$AG9&amp;"; "&amp;$V9&amp;"; "&amp;$W9</f>
        <v>#REF!</v>
      </c>
      <c r="P9" s="552"/>
      <c r="Q9" s="537">
        <v>1</v>
      </c>
      <c r="R9" s="538" t="e">
        <f ca="1">$AF9</f>
        <v>#REF!</v>
      </c>
      <c r="S9" s="553" t="e">
        <f t="shared" ref="S9:S70" ca="1" si="7">$AG9&amp;"; "&amp;$V9&amp;"; "&amp;$W9</f>
        <v>#REF!</v>
      </c>
      <c r="T9" s="500">
        <v>1E-4</v>
      </c>
      <c r="U9" s="558" t="s">
        <v>929</v>
      </c>
      <c r="V9" s="554" t="s">
        <v>1505</v>
      </c>
      <c r="W9" s="554" t="s">
        <v>1489</v>
      </c>
      <c r="X9" s="433">
        <v>1</v>
      </c>
      <c r="Y9" s="433">
        <v>1</v>
      </c>
      <c r="Z9" s="433">
        <v>1</v>
      </c>
      <c r="AA9" s="433">
        <v>1</v>
      </c>
      <c r="AB9" s="433">
        <v>1</v>
      </c>
      <c r="AC9" s="498" t="e">
        <f t="shared" ref="AC9:AC70" ca="1" si="8">IF(OR($D9=4,$E9=4),INDEX(INDIRECT(names&amp;"NamesElementary'!$J:$J"),MATCH($A9,INDIRECT(names&amp;"NamesElementary'!$A:$A"),0),1),INDEX(INDIRECT(names&amp;"Names'!$W:$W"),MATCH($A9,INDIRECT(names&amp;"Names'!$F:$F"),0),1))</f>
        <v>#REF!</v>
      </c>
      <c r="AD9" s="542" t="e">
        <f t="shared" ref="AD9:AD18" ca="1" si="9">INDEX(INDIRECT(names&amp;"BasicUncertainty'!$1:$65536"),MATCH(AC9,INDIRECT(names&amp;"BasicUncertainty'!B:B"),0),8)</f>
        <v>#REF!</v>
      </c>
      <c r="AE9" s="543" t="e">
        <f ca="1">EXP(SQRT((LN(AH9)^2)+(LN(AI9)^2)+(LN(AJ9)^2)+(LN(AK9)^2)+(LN(AL9)^2)))</f>
        <v>#REF!</v>
      </c>
      <c r="AF9" s="544" t="e">
        <f ca="1">EXP(SQRT((LN(AH9)^2)+(LN(AI9)^2)+(LN(AJ9)^2)+(LN(AK9)^2)+(LN(AL9)^2)+(LN(AD9)^2)))</f>
        <v>#REF!</v>
      </c>
      <c r="AG9" s="545" t="e">
        <f ca="1">CONCATENATE("(",X9,",",Y9,",",Z9,",",AA9,",",AB9,",BU:",AD9,")")</f>
        <v>#REF!</v>
      </c>
      <c r="AH9" s="546" t="e">
        <f t="shared" ref="AH9:AH18" ca="1" si="10">IF(X9=1,INDIRECT(names&amp;"SDG^2 values'!$B$4"),IF(X9=2,INDIRECT(names&amp;"SDG^2 values'!$C$4"),IF(X9=3,INDIRECT(names&amp;"SDG^2 values'!$D$4"),IF(X9=4,INDIRECT(names&amp;"SDG^2 values'!$E$4"),IF(X9=5,INDIRECT(names&amp;"SDG^2 values'!$F$4"),1)))))</f>
        <v>#REF!</v>
      </c>
      <c r="AI9" s="546" t="e">
        <f t="shared" ref="AI9:AI18" ca="1" si="11">IF(Y9=1,INDIRECT(names&amp;"SDG^2 values'!$B$5"),IF(Y9=2,INDIRECT(names&amp;"SDG^2 values'!$C$5"),IF(Y9=3,INDIRECT(names&amp;"SDG^2 values'!$D$5"),IF(Y9=4,INDIRECT(names&amp;"SDG^2 values'!$E$5"),IF(Y9=5,INDIRECT(names&amp;"SDG^2 values'!$F$5"),1)))))</f>
        <v>#REF!</v>
      </c>
      <c r="AJ9" s="546" t="e">
        <f t="shared" ref="AJ9:AJ18" ca="1" si="12">IF(Z9=1,INDIRECT(names&amp;"SDG^2 values'!$B$6"),IF(Z9=2,INDIRECT(names&amp;"SDG^2 values'!$C$6"),IF(Z9=3,INDIRECT(names&amp;"SDG^2 values'!$D$6"),IF(Z9=4,INDIRECT(names&amp;"SDG^2 values'!$E$6"),IF(Z9=5,INDIRECT(names&amp;"SDG^2 values'!$F$6"),1)))))</f>
        <v>#REF!</v>
      </c>
      <c r="AK9" s="546" t="e">
        <f t="shared" ref="AK9:AK18" ca="1" si="13">IF(AA9=1,INDIRECT(names&amp;"SDG^2 values'!$B$7"),IF(AA9=2,INDIRECT(names&amp;"SDG^2 values'!$C$7"),IF(AA9=3,INDIRECT(names&amp;"SDG^2 values'!$D$7"),IF(AA9=4,INDIRECT(names&amp;"SDG^2 values'!$E$7"),IF(AA9=5,INDIRECT(names&amp;"SDG^2 values'!$F$7"),1)))))</f>
        <v>#REF!</v>
      </c>
      <c r="AL9" s="546" t="e">
        <f t="shared" ref="AL9:AL18" ca="1" si="14">IF(AB9=1,INDIRECT(names&amp;"SDG^2 values'!$B$8"),IF(AB9=2,INDIRECT(names&amp;"SDG^2 values'!$C$8"),IF(AB9=3,INDIRECT(names&amp;"SDG^2 values'!$D$8"),IF(AB9=4,INDIRECT(names&amp;"SDG^2 values'!$E$8"),IF(AB9=5,INDIRECT(names&amp;"SDG^2 values'!$F$8"),1)))))</f>
        <v>#REF!</v>
      </c>
      <c r="AM9" t="s">
        <v>1003</v>
      </c>
    </row>
    <row r="10" spans="1:39" ht="12.75">
      <c r="A10" s="560">
        <v>6425</v>
      </c>
      <c r="B10" s="529"/>
      <c r="C10" s="450"/>
      <c r="D10" s="547">
        <v>5</v>
      </c>
      <c r="E10" s="548" t="s">
        <v>340</v>
      </c>
      <c r="F10" s="444" t="e">
        <f t="shared" ca="1" si="2"/>
        <v>#REF!</v>
      </c>
      <c r="G10" s="549" t="e">
        <f t="shared" ca="1" si="3"/>
        <v>#REF!</v>
      </c>
      <c r="H10" s="550" t="str">
        <f t="shared" ca="1" si="0"/>
        <v>-</v>
      </c>
      <c r="I10" s="550" t="str">
        <f t="shared" ca="1" si="1"/>
        <v>-</v>
      </c>
      <c r="J10" s="551" t="e">
        <f t="shared" ca="1" si="4"/>
        <v>#REF!</v>
      </c>
      <c r="K10" s="549" t="e">
        <f t="shared" ca="1" si="5"/>
        <v>#REF!</v>
      </c>
      <c r="L10" s="552" t="e">
        <f>INDEX(LCIAbg!$1:$1048576,7,MATCH('X-Exchange'!$U10,LCIAbg!$15:$15,0))*T10</f>
        <v>#N/A</v>
      </c>
      <c r="M10" s="537">
        <v>1</v>
      </c>
      <c r="N10" s="538" t="e">
        <f t="shared" ref="N10:N70" ca="1" si="15">$AF10</f>
        <v>#REF!</v>
      </c>
      <c r="O10" s="539" t="e">
        <f t="shared" ca="1" si="6"/>
        <v>#REF!</v>
      </c>
      <c r="P10" s="552"/>
      <c r="Q10" s="537">
        <v>1</v>
      </c>
      <c r="R10" s="538" t="e">
        <f t="shared" ref="R10:R70" ca="1" si="16">$AF10</f>
        <v>#REF!</v>
      </c>
      <c r="S10" s="553" t="e">
        <f t="shared" ca="1" si="7"/>
        <v>#REF!</v>
      </c>
      <c r="T10" s="574">
        <v>1.2E-5</v>
      </c>
      <c r="U10" s="558" t="s">
        <v>10</v>
      </c>
      <c r="V10" s="554" t="str">
        <f>$V$9</f>
        <v>entry in questionnaire</v>
      </c>
      <c r="W10" s="554" t="s">
        <v>1489</v>
      </c>
      <c r="X10" s="433">
        <v>1</v>
      </c>
      <c r="Y10" s="433">
        <v>1</v>
      </c>
      <c r="Z10" s="433">
        <v>1</v>
      </c>
      <c r="AA10" s="433">
        <v>1</v>
      </c>
      <c r="AB10" s="433">
        <v>1</v>
      </c>
      <c r="AC10" s="498" t="e">
        <f t="shared" ca="1" si="8"/>
        <v>#REF!</v>
      </c>
      <c r="AD10" s="542" t="e">
        <f t="shared" ca="1" si="9"/>
        <v>#REF!</v>
      </c>
      <c r="AE10" s="543" t="e">
        <f t="shared" ref="AE10:AE18" ca="1" si="17">EXP(SQRT((LN(AH10)^2)+(LN(AI10)^2)+(LN(AJ10)^2)+(LN(AK10)^2)+(LN(AL10)^2)))</f>
        <v>#REF!</v>
      </c>
      <c r="AF10" s="544" t="e">
        <f t="shared" ref="AF10:AF18" ca="1" si="18">EXP(SQRT((LN(AH10)^2)+(LN(AI10)^2)+(LN(AJ10)^2)+(LN(AK10)^2)+(LN(AL10)^2)+(LN(AD10)^2)))</f>
        <v>#REF!</v>
      </c>
      <c r="AG10" s="545" t="e">
        <f t="shared" ref="AG10:AG18" ca="1" si="19">CONCATENATE("(",X10,",",Y10,",",Z10,",",AA10,",",AB10,",BU:",AD10,")")</f>
        <v>#REF!</v>
      </c>
      <c r="AH10" s="546" t="e">
        <f t="shared" ca="1" si="10"/>
        <v>#REF!</v>
      </c>
      <c r="AI10" s="546" t="e">
        <f t="shared" ca="1" si="11"/>
        <v>#REF!</v>
      </c>
      <c r="AJ10" s="546" t="e">
        <f t="shared" ca="1" si="12"/>
        <v>#REF!</v>
      </c>
      <c r="AK10" s="546" t="e">
        <f t="shared" ca="1" si="13"/>
        <v>#REF!</v>
      </c>
      <c r="AL10" s="546" t="e">
        <f t="shared" ca="1" si="14"/>
        <v>#REF!</v>
      </c>
      <c r="AM10" t="s">
        <v>1004</v>
      </c>
    </row>
    <row r="11" spans="1:39" ht="12.75">
      <c r="A11" s="560">
        <v>6373</v>
      </c>
      <c r="B11" s="529"/>
      <c r="C11" s="450"/>
      <c r="D11" s="547">
        <v>5</v>
      </c>
      <c r="E11" s="548" t="s">
        <v>340</v>
      </c>
      <c r="F11" s="444" t="e">
        <f t="shared" ca="1" si="2"/>
        <v>#REF!</v>
      </c>
      <c r="G11" s="549" t="e">
        <f t="shared" ca="1" si="3"/>
        <v>#REF!</v>
      </c>
      <c r="H11" s="550" t="str">
        <f t="shared" ca="1" si="0"/>
        <v>-</v>
      </c>
      <c r="I11" s="550" t="str">
        <f t="shared" ca="1" si="1"/>
        <v>-</v>
      </c>
      <c r="J11" s="551" t="e">
        <f t="shared" ca="1" si="4"/>
        <v>#REF!</v>
      </c>
      <c r="K11" s="549" t="e">
        <f t="shared" ca="1" si="5"/>
        <v>#REF!</v>
      </c>
      <c r="L11" s="552" t="e">
        <f>INDEX(LCIAbg!$1:$1048576,7,MATCH('X-Exchange'!$U11,LCIAbg!$15:$15,0))*T11</f>
        <v>#N/A</v>
      </c>
      <c r="M11" s="537">
        <v>1</v>
      </c>
      <c r="N11" s="538" t="e">
        <f t="shared" ca="1" si="15"/>
        <v>#REF!</v>
      </c>
      <c r="O11" s="539" t="e">
        <f t="shared" ca="1" si="6"/>
        <v>#REF!</v>
      </c>
      <c r="P11" s="552"/>
      <c r="Q11" s="537">
        <v>1</v>
      </c>
      <c r="R11" s="538" t="e">
        <f t="shared" ca="1" si="16"/>
        <v>#REF!</v>
      </c>
      <c r="S11" s="553" t="e">
        <f t="shared" ca="1" si="7"/>
        <v>#REF!</v>
      </c>
      <c r="T11" s="574">
        <v>6.6699999999999995E-5</v>
      </c>
      <c r="U11" s="558" t="s">
        <v>930</v>
      </c>
      <c r="V11" s="554" t="str">
        <f t="shared" ref="V11:V74" si="20">$V$9</f>
        <v>entry in questionnaire</v>
      </c>
      <c r="W11" s="554" t="s">
        <v>1489</v>
      </c>
      <c r="X11" s="433">
        <v>1</v>
      </c>
      <c r="Y11" s="433">
        <v>1</v>
      </c>
      <c r="Z11" s="433">
        <v>1</v>
      </c>
      <c r="AA11" s="433">
        <v>1</v>
      </c>
      <c r="AB11" s="433">
        <v>1</v>
      </c>
      <c r="AC11" s="498" t="e">
        <f t="shared" ca="1" si="8"/>
        <v>#REF!</v>
      </c>
      <c r="AD11" s="542" t="e">
        <f t="shared" ca="1" si="9"/>
        <v>#REF!</v>
      </c>
      <c r="AE11" s="543" t="e">
        <f t="shared" ca="1" si="17"/>
        <v>#REF!</v>
      </c>
      <c r="AF11" s="544" t="e">
        <f t="shared" ca="1" si="18"/>
        <v>#REF!</v>
      </c>
      <c r="AG11" s="545" t="e">
        <f t="shared" ca="1" si="19"/>
        <v>#REF!</v>
      </c>
      <c r="AH11" s="546" t="e">
        <f t="shared" ca="1" si="10"/>
        <v>#REF!</v>
      </c>
      <c r="AI11" s="546" t="e">
        <f t="shared" ca="1" si="11"/>
        <v>#REF!</v>
      </c>
      <c r="AJ11" s="546" t="e">
        <f t="shared" ca="1" si="12"/>
        <v>#REF!</v>
      </c>
      <c r="AK11" s="546" t="e">
        <f t="shared" ca="1" si="13"/>
        <v>#REF!</v>
      </c>
      <c r="AL11" s="546" t="e">
        <f t="shared" ca="1" si="14"/>
        <v>#REF!</v>
      </c>
      <c r="AM11" t="s">
        <v>1005</v>
      </c>
    </row>
    <row r="12" spans="1:39" ht="12.75">
      <c r="A12" s="560">
        <v>2353</v>
      </c>
      <c r="B12" s="529"/>
      <c r="C12" s="450"/>
      <c r="D12" s="547">
        <v>5</v>
      </c>
      <c r="E12" s="548" t="s">
        <v>340</v>
      </c>
      <c r="F12" s="444" t="e">
        <f ca="1">IF(OR(D12=4,E12=4),INDEX(INDIRECT(names&amp;"NamesElementary'!$1:$65536"),MATCH(A12,INDIRECT(names&amp;"NamesElementary'!$A:$A"),0),2),INDEX(INDIRECT(names&amp;"Names'!$1:$65536"),MATCH(A12,INDIRECT(names&amp;"Names'!$F:$F"),0),10))</f>
        <v>#REF!</v>
      </c>
      <c r="G12" s="549" t="e">
        <f t="shared" ca="1" si="3"/>
        <v>#REF!</v>
      </c>
      <c r="H12" s="550" t="str">
        <f t="shared" ca="1" si="0"/>
        <v>-</v>
      </c>
      <c r="I12" s="550" t="str">
        <f t="shared" ca="1" si="1"/>
        <v>-</v>
      </c>
      <c r="J12" s="551" t="e">
        <f t="shared" ca="1" si="4"/>
        <v>#REF!</v>
      </c>
      <c r="K12" s="549" t="e">
        <f t="shared" ca="1" si="5"/>
        <v>#REF!</v>
      </c>
      <c r="L12" s="552" t="e">
        <f>INDEX(LCIAbg!$1:$1048576,7,MATCH('X-Exchange'!$U12,LCIAbg!$15:$15,0))*T12</f>
        <v>#N/A</v>
      </c>
      <c r="M12" s="537">
        <v>1</v>
      </c>
      <c r="N12" s="538" t="e">
        <f t="shared" ca="1" si="15"/>
        <v>#REF!</v>
      </c>
      <c r="O12" s="539" t="e">
        <f t="shared" ca="1" si="6"/>
        <v>#REF!</v>
      </c>
      <c r="P12" s="552"/>
      <c r="Q12" s="537">
        <v>1</v>
      </c>
      <c r="R12" s="538" t="e">
        <f t="shared" ca="1" si="16"/>
        <v>#REF!</v>
      </c>
      <c r="S12" s="553" t="e">
        <f t="shared" ca="1" si="7"/>
        <v>#REF!</v>
      </c>
      <c r="T12" s="500">
        <v>1</v>
      </c>
      <c r="U12" s="561" t="s">
        <v>1055</v>
      </c>
      <c r="V12" s="554" t="str">
        <f t="shared" si="20"/>
        <v>entry in questionnaire</v>
      </c>
      <c r="W12" s="554" t="s">
        <v>1489</v>
      </c>
      <c r="X12" s="433">
        <v>1</v>
      </c>
      <c r="Y12" s="433">
        <v>1</v>
      </c>
      <c r="Z12" s="433">
        <v>1</v>
      </c>
      <c r="AA12" s="433">
        <v>1</v>
      </c>
      <c r="AB12" s="433">
        <v>1</v>
      </c>
      <c r="AC12" s="498" t="e">
        <f t="shared" ca="1" si="8"/>
        <v>#REF!</v>
      </c>
      <c r="AD12" s="542" t="e">
        <f t="shared" ca="1" si="9"/>
        <v>#REF!</v>
      </c>
      <c r="AE12" s="543" t="e">
        <f t="shared" ca="1" si="17"/>
        <v>#REF!</v>
      </c>
      <c r="AF12" s="544" t="e">
        <f t="shared" ca="1" si="18"/>
        <v>#REF!</v>
      </c>
      <c r="AG12" s="545" t="e">
        <f t="shared" ca="1" si="19"/>
        <v>#REF!</v>
      </c>
      <c r="AH12" s="546" t="e">
        <f t="shared" ca="1" si="10"/>
        <v>#REF!</v>
      </c>
      <c r="AI12" s="546" t="e">
        <f t="shared" ca="1" si="11"/>
        <v>#REF!</v>
      </c>
      <c r="AJ12" s="546" t="e">
        <f t="shared" ca="1" si="12"/>
        <v>#REF!</v>
      </c>
      <c r="AK12" s="546" t="e">
        <f t="shared" ca="1" si="13"/>
        <v>#REF!</v>
      </c>
      <c r="AL12" s="546" t="e">
        <f t="shared" ca="1" si="14"/>
        <v>#REF!</v>
      </c>
      <c r="AM12" t="s">
        <v>1051</v>
      </c>
    </row>
    <row r="13" spans="1:39" ht="12.75">
      <c r="A13" s="560">
        <v>2362</v>
      </c>
      <c r="B13" s="529"/>
      <c r="C13" s="450"/>
      <c r="D13" s="547">
        <v>5</v>
      </c>
      <c r="E13" s="548" t="s">
        <v>340</v>
      </c>
      <c r="F13" s="444" t="e">
        <f t="shared" ref="F13" ca="1" si="21">IF(OR(D13=4,E13=4),INDEX(INDIRECT(names&amp;"NamesElementary'!$1:$65536"),MATCH(A13,INDIRECT(names&amp;"NamesElementary'!$A:$A"),0),2),INDEX(INDIRECT(names&amp;"Names'!$1:$65536"),MATCH(A13,INDIRECT(names&amp;"Names'!$F:$F"),0),10))</f>
        <v>#REF!</v>
      </c>
      <c r="G13" s="549" t="e">
        <f t="shared" ref="G13" ca="1" si="22">IF(OR(D13=4,E13=4),"-",INDEX(INDIRECT(names&amp;"Names'!$1:$65536"),MATCH(A13,INDIRECT(names&amp;"Names'!$F:$F"),0),11))</f>
        <v>#REF!</v>
      </c>
      <c r="H13" s="550" t="str">
        <f t="shared" ref="H13" ca="1" si="23">IF(OR(D13=4,E13=4),INDEX(INDIRECT(names&amp;"NamesElementary'!$1:$65536"),MATCH($A13,INDIRECT(names&amp;"NamesElementary'!$A:$A"),0),4),"-")</f>
        <v>-</v>
      </c>
      <c r="I13" s="550" t="str">
        <f t="shared" ref="I13" ca="1" si="24">IF(OR(D13=4,E13=4),INDEX(INDIRECT(names&amp;"NamesElementary'!$1:$65536"),MATCH($A13,INDIRECT(names&amp;"NamesElementary'!$A:$A"),0),5),"-")</f>
        <v>-</v>
      </c>
      <c r="J13" s="551" t="e">
        <f t="shared" ref="J13" ca="1" si="25">IF(OR(D13=4,E13=4),"-",INDEX(INDIRECT(names&amp;"Names'!$1:$65536"),MATCH(A13,INDIRECT(names&amp;"Names'!$F:$F"),0),14))</f>
        <v>#REF!</v>
      </c>
      <c r="K13" s="549" t="e">
        <f t="shared" ref="K13" ca="1" si="26">IF(OR(D13=4,E13=4),INDEX(INDIRECT(names&amp;"NamesElementary'!$1:$65536"),MATCH(A13,INDIRECT(names&amp;"NamesElementary'!$A:$A"),0),7),INDEX(INDIRECT(names&amp;"Names'!$1:$65536"),MATCH(A13,INDIRECT(names&amp;"Names'!$F:$F"),0),15))</f>
        <v>#REF!</v>
      </c>
      <c r="L13" s="552" t="e">
        <f>INDEX(LCIAbg!$1:$1048576,7,MATCH('X-Exchange'!$U13,LCIAbg!$15:$15,0))*T13</f>
        <v>#N/A</v>
      </c>
      <c r="M13" s="537">
        <v>1</v>
      </c>
      <c r="N13" s="538" t="e">
        <f t="shared" ca="1" si="15"/>
        <v>#REF!</v>
      </c>
      <c r="O13" s="539" t="e">
        <f t="shared" ca="1" si="6"/>
        <v>#REF!</v>
      </c>
      <c r="P13" s="552"/>
      <c r="Q13" s="537">
        <v>1</v>
      </c>
      <c r="R13" s="538" t="e">
        <f t="shared" ca="1" si="16"/>
        <v>#REF!</v>
      </c>
      <c r="S13" s="553" t="e">
        <f t="shared" ca="1" si="7"/>
        <v>#REF!</v>
      </c>
      <c r="T13" s="500">
        <v>1</v>
      </c>
      <c r="U13" s="561" t="s">
        <v>1056</v>
      </c>
      <c r="V13" s="554" t="str">
        <f t="shared" si="20"/>
        <v>entry in questionnaire</v>
      </c>
      <c r="W13" s="554" t="s">
        <v>1489</v>
      </c>
      <c r="X13" s="433">
        <v>1</v>
      </c>
      <c r="Y13" s="433">
        <v>1</v>
      </c>
      <c r="Z13" s="433">
        <v>1</v>
      </c>
      <c r="AA13" s="433">
        <v>1</v>
      </c>
      <c r="AB13" s="433">
        <v>1</v>
      </c>
      <c r="AC13" s="498" t="e">
        <f t="shared" ca="1" si="8"/>
        <v>#REF!</v>
      </c>
      <c r="AD13" s="542" t="e">
        <f t="shared" ref="AD13" ca="1" si="27">INDEX(INDIRECT(names&amp;"BasicUncertainty'!$1:$65536"),MATCH(AC13,INDIRECT(names&amp;"BasicUncertainty'!B:B"),0),8)</f>
        <v>#REF!</v>
      </c>
      <c r="AE13" s="543" t="e">
        <f t="shared" ca="1" si="17"/>
        <v>#REF!</v>
      </c>
      <c r="AF13" s="544" t="e">
        <f t="shared" ca="1" si="18"/>
        <v>#REF!</v>
      </c>
      <c r="AG13" s="545" t="e">
        <f t="shared" ca="1" si="19"/>
        <v>#REF!</v>
      </c>
      <c r="AH13" s="546" t="e">
        <f t="shared" ca="1" si="10"/>
        <v>#REF!</v>
      </c>
      <c r="AI13" s="546" t="e">
        <f t="shared" ca="1" si="11"/>
        <v>#REF!</v>
      </c>
      <c r="AJ13" s="546" t="e">
        <f t="shared" ca="1" si="12"/>
        <v>#REF!</v>
      </c>
      <c r="AK13" s="546" t="e">
        <f t="shared" ca="1" si="13"/>
        <v>#REF!</v>
      </c>
      <c r="AL13" s="546" t="e">
        <f t="shared" ca="1" si="14"/>
        <v>#REF!</v>
      </c>
      <c r="AM13" t="s">
        <v>1052</v>
      </c>
    </row>
    <row r="14" spans="1:39" ht="12.75">
      <c r="A14" s="560">
        <v>3881</v>
      </c>
      <c r="B14" s="529"/>
      <c r="C14" s="450"/>
      <c r="D14" s="547">
        <v>5</v>
      </c>
      <c r="E14" s="548" t="s">
        <v>340</v>
      </c>
      <c r="F14" s="444" t="e">
        <f ca="1">IF(OR(D14=4,E14=4),INDEX(INDIRECT(names&amp;"NamesElementary'!$1:$65536"),MATCH(A14,INDIRECT(names&amp;"NamesElementary'!$A:$A"),0),2),INDEX(INDIRECT(names&amp;"Names'!$1:$65536"),MATCH(A14,INDIRECT(names&amp;"Names'!$F:$F"),0),10))</f>
        <v>#REF!</v>
      </c>
      <c r="G14" s="549" t="e">
        <f ca="1">IF(OR(D14=4,E14=4),"-",INDEX(INDIRECT(names&amp;"Names'!$1:$65536"),MATCH(A14,INDIRECT(names&amp;"Names'!$F:$F"),0),11))</f>
        <v>#REF!</v>
      </c>
      <c r="H14" s="550" t="str">
        <f ca="1">IF(OR(D14=4,E14=4),INDEX(INDIRECT(names&amp;"NamesElementary'!$1:$65536"),MATCH($A14,INDIRECT(names&amp;"NamesElementary'!$A:$A"),0),4),"-")</f>
        <v>-</v>
      </c>
      <c r="I14" s="550" t="str">
        <f ca="1">IF(OR(D14=4,E14=4),INDEX(INDIRECT(names&amp;"NamesElementary'!$1:$65536"),MATCH($A14,INDIRECT(names&amp;"NamesElementary'!$A:$A"),0),5),"-")</f>
        <v>-</v>
      </c>
      <c r="J14" s="551" t="e">
        <f ca="1">IF(OR(D14=4,E14=4),"-",INDEX(INDIRECT(names&amp;"Names'!$1:$65536"),MATCH(A14,INDIRECT(names&amp;"Names'!$F:$F"),0),14))</f>
        <v>#REF!</v>
      </c>
      <c r="K14" s="549" t="e">
        <f ca="1">IF(OR(D14=4,E14=4),INDEX(INDIRECT(names&amp;"NamesElementary'!$1:$65536"),MATCH(A14,INDIRECT(names&amp;"NamesElementary'!$A:$A"),0),7),INDEX(INDIRECT(names&amp;"Names'!$1:$65536"),MATCH(A14,INDIRECT(names&amp;"Names'!$F:$F"),0),15))</f>
        <v>#REF!</v>
      </c>
      <c r="L14" s="552" t="e">
        <f>INDEX(LCIAbg!$1:$1048576,7,MATCH('X-Exchange'!$U14,LCIAbg!$15:$15,0))*T14</f>
        <v>#N/A</v>
      </c>
      <c r="M14" s="537">
        <v>1</v>
      </c>
      <c r="N14" s="538" t="e">
        <f ca="1">$AF14</f>
        <v>#REF!</v>
      </c>
      <c r="O14" s="539" t="e">
        <f t="shared" ca="1" si="6"/>
        <v>#REF!</v>
      </c>
      <c r="P14" s="552"/>
      <c r="Q14" s="537">
        <v>1</v>
      </c>
      <c r="R14" s="538" t="e">
        <f ca="1">$AF14</f>
        <v>#REF!</v>
      </c>
      <c r="S14" s="553" t="e">
        <f t="shared" ca="1" si="7"/>
        <v>#REF!</v>
      </c>
      <c r="T14" s="500">
        <v>1</v>
      </c>
      <c r="U14" s="562" t="s">
        <v>1058</v>
      </c>
      <c r="V14" s="554" t="str">
        <f t="shared" si="20"/>
        <v>entry in questionnaire</v>
      </c>
      <c r="W14" s="554" t="s">
        <v>1489</v>
      </c>
      <c r="X14" s="433">
        <v>1</v>
      </c>
      <c r="Y14" s="433">
        <v>1</v>
      </c>
      <c r="Z14" s="433">
        <v>1</v>
      </c>
      <c r="AA14" s="433">
        <v>1</v>
      </c>
      <c r="AB14" s="433">
        <v>1</v>
      </c>
      <c r="AC14" s="498" t="e">
        <f ca="1">IF(OR($D14=4,$E14=4),INDEX(INDIRECT(names&amp;"NamesElementary'!$J:$J"),MATCH($A14,INDIRECT(names&amp;"NamesElementary'!$A:$A"),0),1),INDEX(INDIRECT(names&amp;"Names'!$W:$W"),MATCH($A14,INDIRECT(names&amp;"Names'!$F:$F"),0),1))</f>
        <v>#REF!</v>
      </c>
      <c r="AD14" s="542" t="e">
        <f ca="1">INDEX(INDIRECT(names&amp;"BasicUncertainty'!$1:$65536"),MATCH(AC14,INDIRECT(names&amp;"BasicUncertainty'!B:B"),0),8)</f>
        <v>#REF!</v>
      </c>
      <c r="AE14" s="543" t="e">
        <f t="shared" ca="1" si="17"/>
        <v>#REF!</v>
      </c>
      <c r="AF14" s="544" t="e">
        <f t="shared" ca="1" si="18"/>
        <v>#REF!</v>
      </c>
      <c r="AG14" s="545" t="e">
        <f t="shared" ca="1" si="19"/>
        <v>#REF!</v>
      </c>
      <c r="AH14" s="546" t="e">
        <f t="shared" ca="1" si="10"/>
        <v>#REF!</v>
      </c>
      <c r="AI14" s="546" t="e">
        <f t="shared" ca="1" si="11"/>
        <v>#REF!</v>
      </c>
      <c r="AJ14" s="546" t="e">
        <f t="shared" ca="1" si="12"/>
        <v>#REF!</v>
      </c>
      <c r="AK14" s="546" t="e">
        <f t="shared" ca="1" si="13"/>
        <v>#REF!</v>
      </c>
      <c r="AL14" s="546" t="e">
        <f t="shared" ca="1" si="14"/>
        <v>#REF!</v>
      </c>
      <c r="AM14" t="s">
        <v>1054</v>
      </c>
    </row>
    <row r="15" spans="1:39" ht="12.75">
      <c r="A15" s="560">
        <v>3874</v>
      </c>
      <c r="B15" s="529"/>
      <c r="C15" s="450"/>
      <c r="D15" s="547">
        <v>5</v>
      </c>
      <c r="E15" s="548" t="s">
        <v>340</v>
      </c>
      <c r="F15" s="444" t="e">
        <f ca="1">IF(OR(D15=4,E15=4),INDEX(INDIRECT(names&amp;"NamesElementary'!$1:$65536"),MATCH(A15,INDIRECT(names&amp;"NamesElementary'!$A:$A"),0),2),INDEX(INDIRECT(names&amp;"Names'!$1:$65536"),MATCH(A15,INDIRECT(names&amp;"Names'!$F:$F"),0),10))</f>
        <v>#REF!</v>
      </c>
      <c r="G15" s="549" t="e">
        <f ca="1">IF(OR(D15=4,E15=4),"-",INDEX(INDIRECT(names&amp;"Names'!$1:$65536"),MATCH(A15,INDIRECT(names&amp;"Names'!$F:$F"),0),11))</f>
        <v>#REF!</v>
      </c>
      <c r="H15" s="550" t="str">
        <f ca="1">IF(OR(D15=4,E15=4),INDEX(INDIRECT(names&amp;"NamesElementary'!$1:$65536"),MATCH($A15,INDIRECT(names&amp;"NamesElementary'!$A:$A"),0),4),"-")</f>
        <v>-</v>
      </c>
      <c r="I15" s="550" t="str">
        <f ca="1">IF(OR(D15=4,E15=4),INDEX(INDIRECT(names&amp;"NamesElementary'!$1:$65536"),MATCH($A15,INDIRECT(names&amp;"NamesElementary'!$A:$A"),0),5),"-")</f>
        <v>-</v>
      </c>
      <c r="J15" s="551" t="e">
        <f ca="1">IF(OR(D15=4,E15=4),"-",INDEX(INDIRECT(names&amp;"Names'!$1:$65536"),MATCH(A15,INDIRECT(names&amp;"Names'!$F:$F"),0),14))</f>
        <v>#REF!</v>
      </c>
      <c r="K15" s="549" t="e">
        <f ca="1">IF(OR(D15=4,E15=4),INDEX(INDIRECT(names&amp;"NamesElementary'!$1:$65536"),MATCH(A15,INDIRECT(names&amp;"NamesElementary'!$A:$A"),0),7),INDEX(INDIRECT(names&amp;"Names'!$1:$65536"),MATCH(A15,INDIRECT(names&amp;"Names'!$F:$F"),0),15))</f>
        <v>#REF!</v>
      </c>
      <c r="L15" s="552" t="e">
        <f>INDEX(LCIAbg!$1:$1048576,7,MATCH('X-Exchange'!$U15,LCIAbg!$15:$15,0))*T15</f>
        <v>#N/A</v>
      </c>
      <c r="M15" s="537">
        <v>1</v>
      </c>
      <c r="N15" s="538" t="e">
        <f ca="1">$AF15</f>
        <v>#REF!</v>
      </c>
      <c r="O15" s="539" t="e">
        <f t="shared" ca="1" si="6"/>
        <v>#REF!</v>
      </c>
      <c r="P15" s="552"/>
      <c r="Q15" s="537">
        <v>1</v>
      </c>
      <c r="R15" s="538" t="e">
        <f ca="1">$AF15</f>
        <v>#REF!</v>
      </c>
      <c r="S15" s="553" t="e">
        <f t="shared" ca="1" si="7"/>
        <v>#REF!</v>
      </c>
      <c r="T15" s="500">
        <v>1</v>
      </c>
      <c r="U15" s="562" t="s">
        <v>1057</v>
      </c>
      <c r="V15" s="554" t="str">
        <f t="shared" si="20"/>
        <v>entry in questionnaire</v>
      </c>
      <c r="W15" s="554" t="s">
        <v>1489</v>
      </c>
      <c r="X15" s="433">
        <v>1</v>
      </c>
      <c r="Y15" s="433">
        <v>1</v>
      </c>
      <c r="Z15" s="433">
        <v>1</v>
      </c>
      <c r="AA15" s="433">
        <v>1</v>
      </c>
      <c r="AB15" s="433">
        <v>1</v>
      </c>
      <c r="AC15" s="498" t="e">
        <f ca="1">IF(OR($D15=4,$E15=4),INDEX(INDIRECT(names&amp;"NamesElementary'!$J:$J"),MATCH($A15,INDIRECT(names&amp;"NamesElementary'!$A:$A"),0),1),INDEX(INDIRECT(names&amp;"Names'!$W:$W"),MATCH($A15,INDIRECT(names&amp;"Names'!$F:$F"),0),1))</f>
        <v>#REF!</v>
      </c>
      <c r="AD15" s="542" t="e">
        <f ca="1">INDEX(INDIRECT(names&amp;"BasicUncertainty'!$1:$65536"),MATCH(AC15,INDIRECT(names&amp;"BasicUncertainty'!B:B"),0),8)</f>
        <v>#REF!</v>
      </c>
      <c r="AE15" s="543" t="e">
        <f t="shared" ca="1" si="17"/>
        <v>#REF!</v>
      </c>
      <c r="AF15" s="544" t="e">
        <f t="shared" ca="1" si="18"/>
        <v>#REF!</v>
      </c>
      <c r="AG15" s="545" t="e">
        <f t="shared" ca="1" si="19"/>
        <v>#REF!</v>
      </c>
      <c r="AH15" s="546" t="e">
        <f t="shared" ca="1" si="10"/>
        <v>#REF!</v>
      </c>
      <c r="AI15" s="546" t="e">
        <f t="shared" ca="1" si="11"/>
        <v>#REF!</v>
      </c>
      <c r="AJ15" s="546" t="e">
        <f t="shared" ca="1" si="12"/>
        <v>#REF!</v>
      </c>
      <c r="AK15" s="546" t="e">
        <f t="shared" ca="1" si="13"/>
        <v>#REF!</v>
      </c>
      <c r="AL15" s="546" t="e">
        <f t="shared" ca="1" si="14"/>
        <v>#REF!</v>
      </c>
      <c r="AM15" t="s">
        <v>1053</v>
      </c>
    </row>
    <row r="16" spans="1:39" ht="12.75">
      <c r="A16" s="560">
        <v>1501</v>
      </c>
      <c r="B16" s="529"/>
      <c r="C16" s="450"/>
      <c r="D16" s="547">
        <v>5</v>
      </c>
      <c r="E16" s="548" t="s">
        <v>340</v>
      </c>
      <c r="F16" s="444" t="e">
        <f ca="1">IF(OR(D16=4,E16=4),INDEX(INDIRECT(names&amp;"NamesElementary'!$1:$65536"),MATCH(A16,INDIRECT(names&amp;"NamesElementary'!$A:$A"),0),2),INDEX(INDIRECT(names&amp;"Names'!$1:$65536"),MATCH(A16,INDIRECT(names&amp;"Names'!$F:$F"),0),10))</f>
        <v>#REF!</v>
      </c>
      <c r="G16" s="549" t="e">
        <f ca="1">IF(OR(D16=4,E16=4),"-",INDEX(INDIRECT(names&amp;"Names'!$1:$65536"),MATCH(A16,INDIRECT(names&amp;"Names'!$F:$F"),0),11))</f>
        <v>#REF!</v>
      </c>
      <c r="H16" s="550" t="str">
        <f ca="1">IF(OR(D16=4,E16=4),INDEX(INDIRECT(names&amp;"NamesElementary'!$1:$65536"),MATCH($A16,INDIRECT(names&amp;"NamesElementary'!$A:$A"),0),4),"-")</f>
        <v>-</v>
      </c>
      <c r="I16" s="550" t="str">
        <f ca="1">IF(OR(D16=4,E16=4),INDEX(INDIRECT(names&amp;"NamesElementary'!$1:$65536"),MATCH($A16,INDIRECT(names&amp;"NamesElementary'!$A:$A"),0),5),"-")</f>
        <v>-</v>
      </c>
      <c r="J16" s="551" t="e">
        <f ca="1">IF(OR(D16=4,E16=4),"-",INDEX(INDIRECT(names&amp;"Names'!$1:$65536"),MATCH(A16,INDIRECT(names&amp;"Names'!$F:$F"),0),14))</f>
        <v>#REF!</v>
      </c>
      <c r="K16" s="549" t="e">
        <f ca="1">IF(OR(D16=4,E16=4),INDEX(INDIRECT(names&amp;"NamesElementary'!$1:$65536"),MATCH(A16,INDIRECT(names&amp;"NamesElementary'!$A:$A"),0),7),INDEX(INDIRECT(names&amp;"Names'!$1:$65536"),MATCH(A16,INDIRECT(names&amp;"Names'!$F:$F"),0),15))</f>
        <v>#REF!</v>
      </c>
      <c r="L16" s="552" t="e">
        <f>INDEX(LCIAbg!$1:$1048576,7,MATCH('X-Exchange'!$U16,LCIAbg!$15:$15,0))*T16</f>
        <v>#N/A</v>
      </c>
      <c r="M16" s="537">
        <v>1</v>
      </c>
      <c r="N16" s="538" t="e">
        <f ca="1">$AF16</f>
        <v>#REF!</v>
      </c>
      <c r="O16" s="539" t="e">
        <f t="shared" ca="1" si="6"/>
        <v>#REF!</v>
      </c>
      <c r="P16" s="552"/>
      <c r="Q16" s="537">
        <v>1</v>
      </c>
      <c r="R16" s="538" t="e">
        <f ca="1">$AF16</f>
        <v>#REF!</v>
      </c>
      <c r="S16" s="553" t="e">
        <f t="shared" ca="1" si="7"/>
        <v>#REF!</v>
      </c>
      <c r="T16" s="500">
        <v>3.6</v>
      </c>
      <c r="U16" s="558" t="s">
        <v>975</v>
      </c>
      <c r="V16" s="554" t="str">
        <f t="shared" si="20"/>
        <v>entry in questionnaire</v>
      </c>
      <c r="W16" s="554" t="s">
        <v>1489</v>
      </c>
      <c r="X16" s="433">
        <v>1</v>
      </c>
      <c r="Y16" s="433">
        <v>1</v>
      </c>
      <c r="Z16" s="433">
        <v>1</v>
      </c>
      <c r="AA16" s="433">
        <v>1</v>
      </c>
      <c r="AB16" s="433">
        <v>1</v>
      </c>
      <c r="AC16" s="498" t="e">
        <f ca="1">IF(OR($D16=4,$E16=4),INDEX(INDIRECT(names&amp;"NamesElementary'!$J:$J"),MATCH($A16,INDIRECT(names&amp;"NamesElementary'!$A:$A"),0),1),INDEX(INDIRECT(names&amp;"Names'!$W:$W"),MATCH($A16,INDIRECT(names&amp;"Names'!$F:$F"),0),1))</f>
        <v>#REF!</v>
      </c>
      <c r="AD16" s="542" t="e">
        <f ca="1">INDEX(INDIRECT(names&amp;"BasicUncertainty'!$1:$65536"),MATCH(AC16,INDIRECT(names&amp;"BasicUncertainty'!B:B"),0),8)</f>
        <v>#REF!</v>
      </c>
      <c r="AE16" s="543" t="e">
        <f t="shared" ca="1" si="17"/>
        <v>#REF!</v>
      </c>
      <c r="AF16" s="544" t="e">
        <f t="shared" ca="1" si="18"/>
        <v>#REF!</v>
      </c>
      <c r="AG16" s="545" t="e">
        <f t="shared" ca="1" si="19"/>
        <v>#REF!</v>
      </c>
      <c r="AH16" s="546" t="e">
        <f t="shared" ca="1" si="10"/>
        <v>#REF!</v>
      </c>
      <c r="AI16" s="546" t="e">
        <f t="shared" ca="1" si="11"/>
        <v>#REF!</v>
      </c>
      <c r="AJ16" s="546" t="e">
        <f t="shared" ca="1" si="12"/>
        <v>#REF!</v>
      </c>
      <c r="AK16" s="546" t="e">
        <f t="shared" ca="1" si="13"/>
        <v>#REF!</v>
      </c>
      <c r="AL16" s="546" t="e">
        <f t="shared" ca="1" si="14"/>
        <v>#REF!</v>
      </c>
      <c r="AM16" t="s">
        <v>1006</v>
      </c>
    </row>
    <row r="17" spans="1:39" ht="15.75" customHeight="1">
      <c r="A17" s="559" t="s">
        <v>1440</v>
      </c>
      <c r="B17" s="529"/>
      <c r="C17" s="450"/>
      <c r="D17" s="547">
        <v>5</v>
      </c>
      <c r="E17" s="548" t="s">
        <v>340</v>
      </c>
      <c r="F17" s="444" t="e">
        <f ca="1">IF(OR(D17=4,E17=4),INDEX(INDIRECT(names&amp;"NamesElementary'!$1:$65536"),MATCH(A17,INDIRECT(names&amp;"NamesElementary'!$A:$A"),0),2),INDEX(INDIRECT(names&amp;"Names'!$1:$65536"),MATCH(A17,INDIRECT(names&amp;"Names'!$F:$F"),0),10))</f>
        <v>#REF!</v>
      </c>
      <c r="G17" s="549" t="e">
        <f ca="1">IF(OR(D17=4,E17=4),"-",INDEX(INDIRECT(names&amp;"Names'!$1:$65536"),MATCH(A17,INDIRECT(names&amp;"Names'!$F:$F"),0),11))</f>
        <v>#REF!</v>
      </c>
      <c r="H17" s="550" t="str">
        <f ca="1">IF(OR(D17=4,E17=4),INDEX(INDIRECT(names&amp;"NamesElementary'!$1:$65536"),MATCH($A17,INDIRECT(names&amp;"NamesElementary'!$A:$A"),0),4),"-")</f>
        <v>-</v>
      </c>
      <c r="I17" s="550" t="str">
        <f ca="1">IF(OR(D17=4,E17=4),INDEX(INDIRECT(names&amp;"NamesElementary'!$1:$65536"),MATCH($A17,INDIRECT(names&amp;"NamesElementary'!$A:$A"),0),5),"-")</f>
        <v>-</v>
      </c>
      <c r="J17" s="551" t="e">
        <f ca="1">IF(OR(D17=4,E17=4),"-",INDEX(INDIRECT(names&amp;"Names'!$1:$65536"),MATCH(A17,INDIRECT(names&amp;"Names'!$F:$F"),0),14))</f>
        <v>#REF!</v>
      </c>
      <c r="K17" s="549" t="e">
        <f ca="1">IF(OR(D17=4,E17=4),INDEX(INDIRECT(names&amp;"NamesElementary'!$1:$65536"),MATCH(A17,INDIRECT(names&amp;"NamesElementary'!$A:$A"),0),7),INDEX(INDIRECT(names&amp;"Names'!$1:$65536"),MATCH(A17,INDIRECT(names&amp;"Names'!$F:$F"),0),15))</f>
        <v>#REF!</v>
      </c>
      <c r="L17" s="552" t="e">
        <f>INDEX(LCIAbg!$1:$1048576,7,MATCH('X-Exchange'!$U17,LCIAbg!$15:$15,0))*T17</f>
        <v>#N/A</v>
      </c>
      <c r="M17" s="537">
        <v>1</v>
      </c>
      <c r="N17" s="538" t="e">
        <f ca="1">$AF17</f>
        <v>#REF!</v>
      </c>
      <c r="O17" s="539" t="e">
        <f t="shared" ca="1" si="6"/>
        <v>#REF!</v>
      </c>
      <c r="P17" s="552"/>
      <c r="Q17" s="537">
        <v>1</v>
      </c>
      <c r="R17" s="538" t="e">
        <f ca="1">$AF17</f>
        <v>#REF!</v>
      </c>
      <c r="S17" s="553" t="e">
        <f t="shared" ca="1" si="7"/>
        <v>#REF!</v>
      </c>
      <c r="T17" s="500">
        <v>3.6</v>
      </c>
      <c r="U17" s="558" t="s">
        <v>293</v>
      </c>
      <c r="V17" s="554" t="str">
        <f t="shared" si="20"/>
        <v>entry in questionnaire</v>
      </c>
      <c r="W17" s="554" t="s">
        <v>1489</v>
      </c>
      <c r="X17" s="433">
        <v>1</v>
      </c>
      <c r="Y17" s="433">
        <v>1</v>
      </c>
      <c r="Z17" s="433">
        <v>1</v>
      </c>
      <c r="AA17" s="433">
        <v>1</v>
      </c>
      <c r="AB17" s="433">
        <v>1</v>
      </c>
      <c r="AC17" s="498" t="e">
        <f ca="1">IF(OR($D17=4,$E17=4),INDEX(INDIRECT(names&amp;"NamesElementary'!$J:$J"),MATCH($A17,INDIRECT(names&amp;"NamesElementary'!$A:$A"),0),1),INDEX(INDIRECT(names&amp;"Names'!$W:$W"),MATCH($A17,INDIRECT(names&amp;"Names'!$F:$F"),0),1))</f>
        <v>#REF!</v>
      </c>
      <c r="AD17" s="542" t="e">
        <f ca="1">INDEX(INDIRECT(names&amp;"BasicUncertainty'!$1:$65536"),MATCH(AC17,INDIRECT(names&amp;"BasicUncertainty'!B:B"),0),8)</f>
        <v>#REF!</v>
      </c>
      <c r="AE17" s="543" t="e">
        <f t="shared" ca="1" si="17"/>
        <v>#REF!</v>
      </c>
      <c r="AF17" s="544" t="e">
        <f t="shared" ca="1" si="18"/>
        <v>#REF!</v>
      </c>
      <c r="AG17" s="545" t="e">
        <f t="shared" ca="1" si="19"/>
        <v>#REF!</v>
      </c>
      <c r="AH17" s="546" t="e">
        <f t="shared" ca="1" si="10"/>
        <v>#REF!</v>
      </c>
      <c r="AI17" s="546" t="e">
        <f t="shared" ca="1" si="11"/>
        <v>#REF!</v>
      </c>
      <c r="AJ17" s="546" t="e">
        <f t="shared" ca="1" si="12"/>
        <v>#REF!</v>
      </c>
      <c r="AK17" s="546" t="e">
        <f t="shared" ca="1" si="13"/>
        <v>#REF!</v>
      </c>
      <c r="AL17" s="546" t="e">
        <f t="shared" ca="1" si="14"/>
        <v>#REF!</v>
      </c>
      <c r="AM17" t="s">
        <v>608</v>
      </c>
    </row>
    <row r="18" spans="1:39" ht="12.75">
      <c r="A18" s="560">
        <v>1350</v>
      </c>
      <c r="B18" s="529"/>
      <c r="C18" s="450"/>
      <c r="D18" s="547">
        <v>5</v>
      </c>
      <c r="E18" s="548" t="s">
        <v>340</v>
      </c>
      <c r="F18" s="444" t="e">
        <f t="shared" ca="1" si="2"/>
        <v>#REF!</v>
      </c>
      <c r="G18" s="549" t="e">
        <f t="shared" ca="1" si="3"/>
        <v>#REF!</v>
      </c>
      <c r="H18" s="550" t="str">
        <f t="shared" ca="1" si="0"/>
        <v>-</v>
      </c>
      <c r="I18" s="550" t="str">
        <f t="shared" ca="1" si="1"/>
        <v>-</v>
      </c>
      <c r="J18" s="551" t="e">
        <f t="shared" ca="1" si="4"/>
        <v>#REF!</v>
      </c>
      <c r="K18" s="549" t="e">
        <f t="shared" ca="1" si="5"/>
        <v>#REF!</v>
      </c>
      <c r="L18" s="552" t="e">
        <f>INDEX(LCIAbg!$1:$1048576,7,MATCH('X-Exchange'!$U18,LCIAbg!$15:$15,0))*T18</f>
        <v>#N/A</v>
      </c>
      <c r="M18" s="537">
        <v>1</v>
      </c>
      <c r="N18" s="538" t="e">
        <f t="shared" ca="1" si="15"/>
        <v>#REF!</v>
      </c>
      <c r="O18" s="539" t="e">
        <f t="shared" ca="1" si="6"/>
        <v>#REF!</v>
      </c>
      <c r="P18" s="552"/>
      <c r="Q18" s="537">
        <v>1</v>
      </c>
      <c r="R18" s="538" t="e">
        <f t="shared" ca="1" si="16"/>
        <v>#REF!</v>
      </c>
      <c r="S18" s="553" t="e">
        <f t="shared" ca="1" si="7"/>
        <v>#REF!</v>
      </c>
      <c r="T18" s="500">
        <v>3.6</v>
      </c>
      <c r="U18" s="558" t="s">
        <v>294</v>
      </c>
      <c r="V18" s="554" t="str">
        <f t="shared" si="20"/>
        <v>entry in questionnaire</v>
      </c>
      <c r="W18" s="554" t="s">
        <v>1489</v>
      </c>
      <c r="X18" s="433">
        <v>1</v>
      </c>
      <c r="Y18" s="433">
        <v>1</v>
      </c>
      <c r="Z18" s="433">
        <v>1</v>
      </c>
      <c r="AA18" s="433">
        <v>1</v>
      </c>
      <c r="AB18" s="433">
        <v>1</v>
      </c>
      <c r="AC18" s="498" t="e">
        <f t="shared" ca="1" si="8"/>
        <v>#REF!</v>
      </c>
      <c r="AD18" s="542" t="e">
        <f t="shared" ca="1" si="9"/>
        <v>#REF!</v>
      </c>
      <c r="AE18" s="543" t="e">
        <f t="shared" ca="1" si="17"/>
        <v>#REF!</v>
      </c>
      <c r="AF18" s="544" t="e">
        <f t="shared" ca="1" si="18"/>
        <v>#REF!</v>
      </c>
      <c r="AG18" s="545" t="e">
        <f t="shared" ca="1" si="19"/>
        <v>#REF!</v>
      </c>
      <c r="AH18" s="546" t="e">
        <f t="shared" ca="1" si="10"/>
        <v>#REF!</v>
      </c>
      <c r="AI18" s="546" t="e">
        <f t="shared" ca="1" si="11"/>
        <v>#REF!</v>
      </c>
      <c r="AJ18" s="546" t="e">
        <f t="shared" ca="1" si="12"/>
        <v>#REF!</v>
      </c>
      <c r="AK18" s="546" t="e">
        <f t="shared" ca="1" si="13"/>
        <v>#REF!</v>
      </c>
      <c r="AL18" s="546" t="e">
        <f t="shared" ca="1" si="14"/>
        <v>#REF!</v>
      </c>
      <c r="AM18" t="s">
        <v>1007</v>
      </c>
    </row>
    <row r="19" spans="1:39" ht="12.75">
      <c r="A19" s="560">
        <v>4007</v>
      </c>
      <c r="B19" s="529"/>
      <c r="C19" s="450"/>
      <c r="D19" s="547">
        <v>5</v>
      </c>
      <c r="E19" s="548" t="s">
        <v>340</v>
      </c>
      <c r="F19" s="444" t="e">
        <f t="shared" ref="F19:F79" ca="1" si="28">IF(OR(D19=4,E19=4),INDEX(INDIRECT(names&amp;"NamesElementary'!$1:$65536"),MATCH(A19,INDIRECT(names&amp;"NamesElementary'!$A:$A"),0),2),INDEX(INDIRECT(names&amp;"Names'!$1:$65536"),MATCH(A19,INDIRECT(names&amp;"Names'!$F:$F"),0),10))</f>
        <v>#REF!</v>
      </c>
      <c r="G19" s="549" t="e">
        <f t="shared" ref="G19:G79" ca="1" si="29">IF(OR(D19=4,E19=4),"-",INDEX(INDIRECT(names&amp;"Names'!$1:$65536"),MATCH(A19,INDIRECT(names&amp;"Names'!$F:$F"),0),11))</f>
        <v>#REF!</v>
      </c>
      <c r="H19" s="550" t="str">
        <f t="shared" ref="H19:H79" ca="1" si="30">IF(OR(D19=4,E19=4),INDEX(INDIRECT(names&amp;"NamesElementary'!$1:$65536"),MATCH($A19,INDIRECT(names&amp;"NamesElementary'!$A:$A"),0),4),"-")</f>
        <v>-</v>
      </c>
      <c r="I19" s="550" t="str">
        <f t="shared" ref="I19:I79" ca="1" si="31">IF(OR(D19=4,E19=4),INDEX(INDIRECT(names&amp;"NamesElementary'!$1:$65536"),MATCH($A19,INDIRECT(names&amp;"NamesElementary'!$A:$A"),0),5),"-")</f>
        <v>-</v>
      </c>
      <c r="J19" s="551" t="e">
        <f t="shared" ref="J19:J79" ca="1" si="32">IF(OR(D19=4,E19=4),"-",INDEX(INDIRECT(names&amp;"Names'!$1:$65536"),MATCH(A19,INDIRECT(names&amp;"Names'!$F:$F"),0),14))</f>
        <v>#REF!</v>
      </c>
      <c r="K19" s="549" t="e">
        <f t="shared" ref="K19:K79" ca="1" si="33">IF(OR(D19=4,E19=4),INDEX(INDIRECT(names&amp;"NamesElementary'!$1:$65536"),MATCH(A19,INDIRECT(names&amp;"NamesElementary'!$A:$A"),0),7),INDEX(INDIRECT(names&amp;"Names'!$1:$65536"),MATCH(A19,INDIRECT(names&amp;"Names'!$F:$F"),0),15))</f>
        <v>#REF!</v>
      </c>
      <c r="L19" s="552" t="e">
        <f>INDEX(LCIAbg!$1:$1048576,7,MATCH('X-Exchange'!$U19,LCIAbg!$15:$15,0))*T19</f>
        <v>#N/A</v>
      </c>
      <c r="M19" s="537">
        <v>1</v>
      </c>
      <c r="N19" s="538" t="e">
        <f t="shared" ca="1" si="15"/>
        <v>#REF!</v>
      </c>
      <c r="O19" s="539" t="e">
        <f t="shared" ca="1" si="6"/>
        <v>#REF!</v>
      </c>
      <c r="P19" s="552"/>
      <c r="Q19" s="537">
        <v>1</v>
      </c>
      <c r="R19" s="538" t="e">
        <f t="shared" ca="1" si="16"/>
        <v>#REF!</v>
      </c>
      <c r="S19" s="553" t="e">
        <f t="shared" ca="1" si="7"/>
        <v>#REF!</v>
      </c>
      <c r="T19" s="500">
        <v>3.6</v>
      </c>
      <c r="U19" s="558" t="s">
        <v>3</v>
      </c>
      <c r="V19" s="554" t="str">
        <f t="shared" si="20"/>
        <v>entry in questionnaire</v>
      </c>
      <c r="W19" s="554" t="s">
        <v>1489</v>
      </c>
      <c r="X19" s="433">
        <v>1</v>
      </c>
      <c r="Y19" s="433">
        <v>1</v>
      </c>
      <c r="Z19" s="433">
        <v>1</v>
      </c>
      <c r="AA19" s="433">
        <v>1</v>
      </c>
      <c r="AB19" s="433">
        <v>1</v>
      </c>
      <c r="AC19" s="498" t="e">
        <f t="shared" ca="1" si="8"/>
        <v>#REF!</v>
      </c>
      <c r="AD19" s="542" t="e">
        <f t="shared" ref="AD19:AD79" ca="1" si="34">INDEX(INDIRECT(names&amp;"BasicUncertainty'!$1:$65536"),MATCH(AC19,INDIRECT(names&amp;"BasicUncertainty'!B:B"),0),8)</f>
        <v>#REF!</v>
      </c>
      <c r="AE19" s="543" t="e">
        <f t="shared" ref="AE19:AE79" ca="1" si="35">EXP(SQRT((LN(AH19)^2)+(LN(AI19)^2)+(LN(AJ19)^2)+(LN(AK19)^2)+(LN(AL19)^2)))</f>
        <v>#REF!</v>
      </c>
      <c r="AF19" s="544" t="e">
        <f t="shared" ref="AF19:AF79" ca="1" si="36">EXP(SQRT((LN(AH19)^2)+(LN(AI19)^2)+(LN(AJ19)^2)+(LN(AK19)^2)+(LN(AL19)^2)+(LN(AD19)^2)))</f>
        <v>#REF!</v>
      </c>
      <c r="AG19" s="545" t="e">
        <f t="shared" ref="AG19:AG79" ca="1" si="37">CONCATENATE("(",X19,",",Y19,",",Z19,",",AA19,",",AB19,",BU:",AD19,")")</f>
        <v>#REF!</v>
      </c>
      <c r="AH19" s="546" t="e">
        <f t="shared" ref="AH19:AH79" ca="1" si="38">IF(X19=1,INDIRECT(names&amp;"SDG^2 values'!$B$4"),IF(X19=2,INDIRECT(names&amp;"SDG^2 values'!$C$4"),IF(X19=3,INDIRECT(names&amp;"SDG^2 values'!$D$4"),IF(X19=4,INDIRECT(names&amp;"SDG^2 values'!$E$4"),IF(X19=5,INDIRECT(names&amp;"SDG^2 values'!$F$4"),1)))))</f>
        <v>#REF!</v>
      </c>
      <c r="AI19" s="546" t="e">
        <f t="shared" ref="AI19:AI79" ca="1" si="39">IF(Y19=1,INDIRECT(names&amp;"SDG^2 values'!$B$5"),IF(Y19=2,INDIRECT(names&amp;"SDG^2 values'!$C$5"),IF(Y19=3,INDIRECT(names&amp;"SDG^2 values'!$D$5"),IF(Y19=4,INDIRECT(names&amp;"SDG^2 values'!$E$5"),IF(Y19=5,INDIRECT(names&amp;"SDG^2 values'!$F$5"),1)))))</f>
        <v>#REF!</v>
      </c>
      <c r="AJ19" s="546" t="e">
        <f t="shared" ref="AJ19:AJ79" ca="1" si="40">IF(Z19=1,INDIRECT(names&amp;"SDG^2 values'!$B$6"),IF(Z19=2,INDIRECT(names&amp;"SDG^2 values'!$C$6"),IF(Z19=3,INDIRECT(names&amp;"SDG^2 values'!$D$6"),IF(Z19=4,INDIRECT(names&amp;"SDG^2 values'!$E$6"),IF(Z19=5,INDIRECT(names&amp;"SDG^2 values'!$F$6"),1)))))</f>
        <v>#REF!</v>
      </c>
      <c r="AK19" s="546" t="e">
        <f t="shared" ref="AK19:AK79" ca="1" si="41">IF(AA19=1,INDIRECT(names&amp;"SDG^2 values'!$B$7"),IF(AA19=2,INDIRECT(names&amp;"SDG^2 values'!$C$7"),IF(AA19=3,INDIRECT(names&amp;"SDG^2 values'!$D$7"),IF(AA19=4,INDIRECT(names&amp;"SDG^2 values'!$E$7"),IF(AA19=5,INDIRECT(names&amp;"SDG^2 values'!$F$7"),1)))))</f>
        <v>#REF!</v>
      </c>
      <c r="AL19" s="546" t="e">
        <f t="shared" ref="AL19:AL79" ca="1" si="42">IF(AB19=1,INDIRECT(names&amp;"SDG^2 values'!$B$8"),IF(AB19=2,INDIRECT(names&amp;"SDG^2 values'!$C$8"),IF(AB19=3,INDIRECT(names&amp;"SDG^2 values'!$D$8"),IF(AB19=4,INDIRECT(names&amp;"SDG^2 values'!$E$8"),IF(AB19=5,INDIRECT(names&amp;"SDG^2 values'!$F$8"),1)))))</f>
        <v>#REF!</v>
      </c>
      <c r="AM19" t="s">
        <v>1008</v>
      </c>
    </row>
    <row r="20" spans="1:39" ht="12.75">
      <c r="A20" s="560">
        <v>1845</v>
      </c>
      <c r="B20" s="529"/>
      <c r="C20" s="450"/>
      <c r="D20" s="547">
        <v>5</v>
      </c>
      <c r="E20" s="548" t="s">
        <v>340</v>
      </c>
      <c r="F20" s="444" t="e">
        <f t="shared" ca="1" si="28"/>
        <v>#REF!</v>
      </c>
      <c r="G20" s="549" t="e">
        <f t="shared" ca="1" si="29"/>
        <v>#REF!</v>
      </c>
      <c r="H20" s="550" t="str">
        <f t="shared" ca="1" si="30"/>
        <v>-</v>
      </c>
      <c r="I20" s="550" t="str">
        <f t="shared" ca="1" si="31"/>
        <v>-</v>
      </c>
      <c r="J20" s="551" t="e">
        <f t="shared" ca="1" si="32"/>
        <v>#REF!</v>
      </c>
      <c r="K20" s="549" t="e">
        <f t="shared" ca="1" si="33"/>
        <v>#REF!</v>
      </c>
      <c r="L20" s="552" t="e">
        <f>INDEX(LCIAbg!$1:$1048576,7,MATCH('X-Exchange'!$U20,LCIAbg!$15:$15,0))*T20</f>
        <v>#N/A</v>
      </c>
      <c r="M20" s="537">
        <v>1</v>
      </c>
      <c r="N20" s="538" t="e">
        <f t="shared" ca="1" si="15"/>
        <v>#REF!</v>
      </c>
      <c r="O20" s="539" t="e">
        <f t="shared" ca="1" si="6"/>
        <v>#REF!</v>
      </c>
      <c r="P20" s="552"/>
      <c r="Q20" s="537">
        <v>1</v>
      </c>
      <c r="R20" s="538" t="e">
        <f t="shared" ca="1" si="16"/>
        <v>#REF!</v>
      </c>
      <c r="S20" s="553" t="e">
        <f t="shared" ca="1" si="7"/>
        <v>#REF!</v>
      </c>
      <c r="T20" s="500">
        <v>1</v>
      </c>
      <c r="U20" s="558" t="s">
        <v>5</v>
      </c>
      <c r="V20" s="554" t="str">
        <f t="shared" si="20"/>
        <v>entry in questionnaire</v>
      </c>
      <c r="W20" s="554" t="s">
        <v>1489</v>
      </c>
      <c r="X20" s="433">
        <v>1</v>
      </c>
      <c r="Y20" s="433">
        <v>1</v>
      </c>
      <c r="Z20" s="433">
        <v>1</v>
      </c>
      <c r="AA20" s="433">
        <v>1</v>
      </c>
      <c r="AB20" s="433">
        <v>1</v>
      </c>
      <c r="AC20" s="498" t="e">
        <f t="shared" ca="1" si="8"/>
        <v>#REF!</v>
      </c>
      <c r="AD20" s="542" t="e">
        <f t="shared" ca="1" si="34"/>
        <v>#REF!</v>
      </c>
      <c r="AE20" s="543" t="e">
        <f t="shared" ca="1" si="35"/>
        <v>#REF!</v>
      </c>
      <c r="AF20" s="544" t="e">
        <f t="shared" ca="1" si="36"/>
        <v>#REF!</v>
      </c>
      <c r="AG20" s="545" t="e">
        <f t="shared" ca="1" si="37"/>
        <v>#REF!</v>
      </c>
      <c r="AH20" s="546" t="e">
        <f t="shared" ca="1" si="38"/>
        <v>#REF!</v>
      </c>
      <c r="AI20" s="546" t="e">
        <f t="shared" ca="1" si="39"/>
        <v>#REF!</v>
      </c>
      <c r="AJ20" s="546" t="e">
        <f t="shared" ca="1" si="40"/>
        <v>#REF!</v>
      </c>
      <c r="AK20" s="546" t="e">
        <f t="shared" ca="1" si="41"/>
        <v>#REF!</v>
      </c>
      <c r="AL20" s="546" t="e">
        <f t="shared" ca="1" si="42"/>
        <v>#REF!</v>
      </c>
      <c r="AM20" t="s">
        <v>1009</v>
      </c>
    </row>
    <row r="21" spans="1:39" ht="12.75">
      <c r="A21" s="560">
        <v>1990</v>
      </c>
      <c r="B21" s="529"/>
      <c r="C21" s="450"/>
      <c r="D21" s="547">
        <v>5</v>
      </c>
      <c r="E21" s="548" t="s">
        <v>340</v>
      </c>
      <c r="F21" s="444" t="e">
        <f t="shared" ca="1" si="28"/>
        <v>#REF!</v>
      </c>
      <c r="G21" s="549" t="e">
        <f t="shared" ca="1" si="29"/>
        <v>#REF!</v>
      </c>
      <c r="H21" s="550" t="str">
        <f t="shared" ca="1" si="30"/>
        <v>-</v>
      </c>
      <c r="I21" s="550" t="str">
        <f t="shared" ca="1" si="31"/>
        <v>-</v>
      </c>
      <c r="J21" s="551" t="e">
        <f t="shared" ca="1" si="32"/>
        <v>#REF!</v>
      </c>
      <c r="K21" s="549" t="e">
        <f t="shared" ca="1" si="33"/>
        <v>#REF!</v>
      </c>
      <c r="L21" s="552" t="e">
        <f>INDEX(LCIAbg!$1:$1048576,7,MATCH('X-Exchange'!$U21,LCIAbg!$15:$15,0))*T21</f>
        <v>#N/A</v>
      </c>
      <c r="M21" s="537">
        <v>1</v>
      </c>
      <c r="N21" s="538" t="e">
        <f t="shared" ca="1" si="15"/>
        <v>#REF!</v>
      </c>
      <c r="O21" s="539" t="e">
        <f t="shared" ca="1" si="6"/>
        <v>#REF!</v>
      </c>
      <c r="P21" s="552"/>
      <c r="Q21" s="537">
        <v>1</v>
      </c>
      <c r="R21" s="538" t="e">
        <f t="shared" ca="1" si="16"/>
        <v>#REF!</v>
      </c>
      <c r="S21" s="553" t="e">
        <f t="shared" ca="1" si="7"/>
        <v>#REF!</v>
      </c>
      <c r="T21" s="500">
        <v>1</v>
      </c>
      <c r="U21" s="558" t="s">
        <v>295</v>
      </c>
      <c r="V21" s="554" t="str">
        <f t="shared" si="20"/>
        <v>entry in questionnaire</v>
      </c>
      <c r="W21" s="554" t="s">
        <v>1489</v>
      </c>
      <c r="X21" s="433">
        <v>1</v>
      </c>
      <c r="Y21" s="433">
        <v>1</v>
      </c>
      <c r="Z21" s="433">
        <v>1</v>
      </c>
      <c r="AA21" s="433">
        <v>1</v>
      </c>
      <c r="AB21" s="433">
        <v>1</v>
      </c>
      <c r="AC21" s="498" t="e">
        <f t="shared" ca="1" si="8"/>
        <v>#REF!</v>
      </c>
      <c r="AD21" s="542" t="e">
        <f t="shared" ca="1" si="34"/>
        <v>#REF!</v>
      </c>
      <c r="AE21" s="543" t="e">
        <f t="shared" ca="1" si="35"/>
        <v>#REF!</v>
      </c>
      <c r="AF21" s="544" t="e">
        <f t="shared" ca="1" si="36"/>
        <v>#REF!</v>
      </c>
      <c r="AG21" s="545" t="e">
        <f t="shared" ca="1" si="37"/>
        <v>#REF!</v>
      </c>
      <c r="AH21" s="546" t="e">
        <f t="shared" ca="1" si="38"/>
        <v>#REF!</v>
      </c>
      <c r="AI21" s="546" t="e">
        <f t="shared" ca="1" si="39"/>
        <v>#REF!</v>
      </c>
      <c r="AJ21" s="546" t="e">
        <f t="shared" ca="1" si="40"/>
        <v>#REF!</v>
      </c>
      <c r="AK21" s="546" t="e">
        <f t="shared" ca="1" si="41"/>
        <v>#REF!</v>
      </c>
      <c r="AL21" s="546" t="e">
        <f t="shared" ca="1" si="42"/>
        <v>#REF!</v>
      </c>
      <c r="AM21" t="s">
        <v>1010</v>
      </c>
    </row>
    <row r="22" spans="1:39" ht="12.75">
      <c r="A22" s="559" t="s">
        <v>1441</v>
      </c>
      <c r="B22" s="529"/>
      <c r="C22" s="450"/>
      <c r="D22" s="547">
        <v>5</v>
      </c>
      <c r="E22" s="548" t="s">
        <v>340</v>
      </c>
      <c r="F22" s="444" t="e">
        <f t="shared" ca="1" si="28"/>
        <v>#REF!</v>
      </c>
      <c r="G22" s="549" t="e">
        <f t="shared" ca="1" si="29"/>
        <v>#REF!</v>
      </c>
      <c r="H22" s="550" t="str">
        <f t="shared" ca="1" si="30"/>
        <v>-</v>
      </c>
      <c r="I22" s="550" t="str">
        <f t="shared" ca="1" si="31"/>
        <v>-</v>
      </c>
      <c r="J22" s="551" t="e">
        <f t="shared" ca="1" si="32"/>
        <v>#REF!</v>
      </c>
      <c r="K22" s="549" t="e">
        <f t="shared" ca="1" si="33"/>
        <v>#REF!</v>
      </c>
      <c r="L22" s="552" t="e">
        <f>INDEX(LCIAbg!$1:$1048576,7,MATCH('X-Exchange'!$U22,LCIAbg!$15:$15,0))*T22</f>
        <v>#N/A</v>
      </c>
      <c r="M22" s="537">
        <v>1</v>
      </c>
      <c r="N22" s="538" t="e">
        <f t="shared" ca="1" si="15"/>
        <v>#REF!</v>
      </c>
      <c r="O22" s="539" t="e">
        <f t="shared" ca="1" si="6"/>
        <v>#REF!</v>
      </c>
      <c r="P22" s="552"/>
      <c r="Q22" s="537">
        <v>1</v>
      </c>
      <c r="R22" s="538" t="e">
        <f t="shared" ca="1" si="16"/>
        <v>#REF!</v>
      </c>
      <c r="S22" s="553" t="e">
        <f t="shared" ca="1" si="7"/>
        <v>#REF!</v>
      </c>
      <c r="T22" s="500">
        <v>1</v>
      </c>
      <c r="U22" s="558" t="s">
        <v>7</v>
      </c>
      <c r="V22" s="554" t="str">
        <f t="shared" si="20"/>
        <v>entry in questionnaire</v>
      </c>
      <c r="W22" s="554" t="s">
        <v>1489</v>
      </c>
      <c r="X22" s="433">
        <v>1</v>
      </c>
      <c r="Y22" s="433">
        <v>1</v>
      </c>
      <c r="Z22" s="433">
        <v>1</v>
      </c>
      <c r="AA22" s="433">
        <v>1</v>
      </c>
      <c r="AB22" s="433">
        <v>1</v>
      </c>
      <c r="AC22" s="498" t="e">
        <f t="shared" ca="1" si="8"/>
        <v>#REF!</v>
      </c>
      <c r="AD22" s="542" t="e">
        <f t="shared" ca="1" si="34"/>
        <v>#REF!</v>
      </c>
      <c r="AE22" s="543" t="e">
        <f t="shared" ca="1" si="35"/>
        <v>#REF!</v>
      </c>
      <c r="AF22" s="544" t="e">
        <f t="shared" ca="1" si="36"/>
        <v>#REF!</v>
      </c>
      <c r="AG22" s="545" t="e">
        <f t="shared" ca="1" si="37"/>
        <v>#REF!</v>
      </c>
      <c r="AH22" s="546" t="e">
        <f t="shared" ca="1" si="38"/>
        <v>#REF!</v>
      </c>
      <c r="AI22" s="546" t="e">
        <f t="shared" ca="1" si="39"/>
        <v>#REF!</v>
      </c>
      <c r="AJ22" s="546" t="e">
        <f t="shared" ca="1" si="40"/>
        <v>#REF!</v>
      </c>
      <c r="AK22" s="546" t="e">
        <f t="shared" ca="1" si="41"/>
        <v>#REF!</v>
      </c>
      <c r="AL22" s="546" t="e">
        <f t="shared" ca="1" si="42"/>
        <v>#REF!</v>
      </c>
      <c r="AM22" t="s">
        <v>611</v>
      </c>
    </row>
    <row r="23" spans="1:39" ht="12.75">
      <c r="A23" s="559" t="s">
        <v>1442</v>
      </c>
      <c r="B23" s="529"/>
      <c r="C23" s="450"/>
      <c r="D23" s="547">
        <v>5</v>
      </c>
      <c r="E23" s="548" t="s">
        <v>340</v>
      </c>
      <c r="F23" s="444" t="e">
        <f t="shared" ca="1" si="28"/>
        <v>#REF!</v>
      </c>
      <c r="G23" s="549" t="e">
        <f t="shared" ca="1" si="29"/>
        <v>#REF!</v>
      </c>
      <c r="H23" s="550" t="str">
        <f t="shared" ca="1" si="30"/>
        <v>-</v>
      </c>
      <c r="I23" s="550" t="str">
        <f t="shared" ca="1" si="31"/>
        <v>-</v>
      </c>
      <c r="J23" s="551" t="e">
        <f t="shared" ca="1" si="32"/>
        <v>#REF!</v>
      </c>
      <c r="K23" s="549" t="e">
        <f t="shared" ca="1" si="33"/>
        <v>#REF!</v>
      </c>
      <c r="L23" s="552" t="e">
        <f>INDEX(LCIAbg!$1:$1048576,7,MATCH('X-Exchange'!$U23,LCIAbg!$15:$15,0))*T23</f>
        <v>#N/A</v>
      </c>
      <c r="M23" s="537">
        <v>1</v>
      </c>
      <c r="N23" s="538" t="e">
        <f t="shared" ca="1" si="15"/>
        <v>#REF!</v>
      </c>
      <c r="O23" s="539" t="e">
        <f t="shared" ca="1" si="6"/>
        <v>#REF!</v>
      </c>
      <c r="P23" s="552"/>
      <c r="Q23" s="537">
        <v>1</v>
      </c>
      <c r="R23" s="538" t="e">
        <f t="shared" ca="1" si="16"/>
        <v>#REF!</v>
      </c>
      <c r="S23" s="553" t="e">
        <f t="shared" ca="1" si="7"/>
        <v>#REF!</v>
      </c>
      <c r="T23" s="500">
        <v>1</v>
      </c>
      <c r="U23" s="558" t="s">
        <v>8</v>
      </c>
      <c r="V23" s="554" t="str">
        <f t="shared" si="20"/>
        <v>entry in questionnaire</v>
      </c>
      <c r="W23" s="554" t="s">
        <v>1489</v>
      </c>
      <c r="X23" s="433">
        <v>1</v>
      </c>
      <c r="Y23" s="433">
        <v>1</v>
      </c>
      <c r="Z23" s="433">
        <v>1</v>
      </c>
      <c r="AA23" s="433">
        <v>1</v>
      </c>
      <c r="AB23" s="433">
        <v>1</v>
      </c>
      <c r="AC23" s="498" t="e">
        <f t="shared" ca="1" si="8"/>
        <v>#REF!</v>
      </c>
      <c r="AD23" s="542" t="e">
        <f t="shared" ca="1" si="34"/>
        <v>#REF!</v>
      </c>
      <c r="AE23" s="543" t="e">
        <f t="shared" ca="1" si="35"/>
        <v>#REF!</v>
      </c>
      <c r="AF23" s="544" t="e">
        <f t="shared" ca="1" si="36"/>
        <v>#REF!</v>
      </c>
      <c r="AG23" s="545" t="e">
        <f t="shared" ca="1" si="37"/>
        <v>#REF!</v>
      </c>
      <c r="AH23" s="546" t="e">
        <f t="shared" ca="1" si="38"/>
        <v>#REF!</v>
      </c>
      <c r="AI23" s="546" t="e">
        <f t="shared" ca="1" si="39"/>
        <v>#REF!</v>
      </c>
      <c r="AJ23" s="546" t="e">
        <f t="shared" ca="1" si="40"/>
        <v>#REF!</v>
      </c>
      <c r="AK23" s="546" t="e">
        <f t="shared" ca="1" si="41"/>
        <v>#REF!</v>
      </c>
      <c r="AL23" s="546" t="e">
        <f t="shared" ca="1" si="42"/>
        <v>#REF!</v>
      </c>
      <c r="AM23" t="s">
        <v>612</v>
      </c>
    </row>
    <row r="24" spans="1:39" ht="12.75">
      <c r="A24" s="563" t="s">
        <v>1485</v>
      </c>
      <c r="B24" s="529"/>
      <c r="C24" s="450"/>
      <c r="D24" s="547">
        <v>5</v>
      </c>
      <c r="E24" s="548" t="s">
        <v>340</v>
      </c>
      <c r="F24" s="444" t="e">
        <f t="shared" ca="1" si="28"/>
        <v>#REF!</v>
      </c>
      <c r="G24" s="549" t="e">
        <f t="shared" ca="1" si="29"/>
        <v>#REF!</v>
      </c>
      <c r="H24" s="550" t="str">
        <f t="shared" ca="1" si="30"/>
        <v>-</v>
      </c>
      <c r="I24" s="550" t="str">
        <f t="shared" ca="1" si="31"/>
        <v>-</v>
      </c>
      <c r="J24" s="551" t="e">
        <f t="shared" ca="1" si="32"/>
        <v>#REF!</v>
      </c>
      <c r="K24" s="549" t="e">
        <f t="shared" ca="1" si="33"/>
        <v>#REF!</v>
      </c>
      <c r="L24" s="552" t="e">
        <f>INDEX(LCIAbg!$1:$1048576,7,MATCH('X-Exchange'!$U24,LCIAbg!$15:$15,0))*T24</f>
        <v>#N/A</v>
      </c>
      <c r="M24" s="537">
        <v>1</v>
      </c>
      <c r="N24" s="538" t="e">
        <f t="shared" ca="1" si="15"/>
        <v>#REF!</v>
      </c>
      <c r="O24" s="539" t="e">
        <f t="shared" ca="1" si="6"/>
        <v>#REF!</v>
      </c>
      <c r="P24" s="552"/>
      <c r="Q24" s="537">
        <v>1</v>
      </c>
      <c r="R24" s="538" t="e">
        <f t="shared" ca="1" si="16"/>
        <v>#REF!</v>
      </c>
      <c r="S24" s="553" t="e">
        <f t="shared" ca="1" si="7"/>
        <v>#REF!</v>
      </c>
      <c r="T24" s="500">
        <v>1</v>
      </c>
      <c r="U24" s="561" t="s">
        <v>1188</v>
      </c>
      <c r="V24" s="554" t="str">
        <f t="shared" si="20"/>
        <v>entry in questionnaire</v>
      </c>
      <c r="W24" s="554" t="s">
        <v>1489</v>
      </c>
      <c r="X24" s="433">
        <v>1</v>
      </c>
      <c r="Y24" s="433">
        <v>1</v>
      </c>
      <c r="Z24" s="433">
        <v>1</v>
      </c>
      <c r="AA24" s="433">
        <v>1</v>
      </c>
      <c r="AB24" s="433">
        <v>1</v>
      </c>
      <c r="AC24" s="498" t="e">
        <f t="shared" ca="1" si="8"/>
        <v>#REF!</v>
      </c>
      <c r="AD24" s="542" t="e">
        <f t="shared" ca="1" si="34"/>
        <v>#REF!</v>
      </c>
      <c r="AE24" s="543" t="e">
        <f t="shared" ca="1" si="35"/>
        <v>#REF!</v>
      </c>
      <c r="AF24" s="544" t="e">
        <f t="shared" ca="1" si="36"/>
        <v>#REF!</v>
      </c>
      <c r="AG24" s="545" t="e">
        <f t="shared" ca="1" si="37"/>
        <v>#REF!</v>
      </c>
      <c r="AH24" s="546" t="e">
        <f t="shared" ca="1" si="38"/>
        <v>#REF!</v>
      </c>
      <c r="AI24" s="546" t="e">
        <f t="shared" ca="1" si="39"/>
        <v>#REF!</v>
      </c>
      <c r="AJ24" s="546" t="e">
        <f t="shared" ca="1" si="40"/>
        <v>#REF!</v>
      </c>
      <c r="AK24" s="546" t="e">
        <f t="shared" ca="1" si="41"/>
        <v>#REF!</v>
      </c>
      <c r="AL24" s="546" t="e">
        <f t="shared" ca="1" si="42"/>
        <v>#REF!</v>
      </c>
      <c r="AM24" t="s">
        <v>1187</v>
      </c>
    </row>
    <row r="25" spans="1:39" ht="12.75">
      <c r="A25" s="559" t="s">
        <v>1469</v>
      </c>
      <c r="B25" s="529"/>
      <c r="C25" s="450"/>
      <c r="D25" s="547">
        <v>5</v>
      </c>
      <c r="E25" s="548" t="s">
        <v>340</v>
      </c>
      <c r="F25" s="444" t="e">
        <f t="shared" ca="1" si="28"/>
        <v>#REF!</v>
      </c>
      <c r="G25" s="549" t="e">
        <f t="shared" ca="1" si="29"/>
        <v>#REF!</v>
      </c>
      <c r="H25" s="550" t="str">
        <f t="shared" ca="1" si="30"/>
        <v>-</v>
      </c>
      <c r="I25" s="550" t="str">
        <f t="shared" ca="1" si="31"/>
        <v>-</v>
      </c>
      <c r="J25" s="551" t="e">
        <f t="shared" ca="1" si="32"/>
        <v>#REF!</v>
      </c>
      <c r="K25" s="549" t="e">
        <f t="shared" ca="1" si="33"/>
        <v>#REF!</v>
      </c>
      <c r="L25" s="552" t="e">
        <f>INDEX(LCIAbg!$1:$1048576,7,MATCH('X-Exchange'!$U25,LCIAbg!$15:$15,0))*T25</f>
        <v>#N/A</v>
      </c>
      <c r="M25" s="537">
        <v>1</v>
      </c>
      <c r="N25" s="538" t="e">
        <f t="shared" ca="1" si="15"/>
        <v>#REF!</v>
      </c>
      <c r="O25" s="539" t="e">
        <f t="shared" ca="1" si="6"/>
        <v>#REF!</v>
      </c>
      <c r="P25" s="552"/>
      <c r="Q25" s="537">
        <v>1</v>
      </c>
      <c r="R25" s="538" t="e">
        <f t="shared" ca="1" si="16"/>
        <v>#REF!</v>
      </c>
      <c r="S25" s="553" t="e">
        <f t="shared" ca="1" si="7"/>
        <v>#REF!</v>
      </c>
      <c r="T25" s="500">
        <f>1/3.6</f>
        <v>0.27777777777777779</v>
      </c>
      <c r="U25" s="558" t="s">
        <v>6</v>
      </c>
      <c r="V25" s="554" t="str">
        <f t="shared" si="20"/>
        <v>entry in questionnaire</v>
      </c>
      <c r="W25" s="554" t="s">
        <v>1489</v>
      </c>
      <c r="X25" s="433">
        <v>1</v>
      </c>
      <c r="Y25" s="433">
        <v>1</v>
      </c>
      <c r="Z25" s="433">
        <v>1</v>
      </c>
      <c r="AA25" s="433">
        <v>1</v>
      </c>
      <c r="AB25" s="433">
        <v>1</v>
      </c>
      <c r="AC25" s="498" t="e">
        <f t="shared" ca="1" si="8"/>
        <v>#REF!</v>
      </c>
      <c r="AD25" s="542" t="e">
        <f t="shared" ca="1" si="34"/>
        <v>#REF!</v>
      </c>
      <c r="AE25" s="543" t="e">
        <f t="shared" ca="1" si="35"/>
        <v>#REF!</v>
      </c>
      <c r="AF25" s="544" t="e">
        <f t="shared" ca="1" si="36"/>
        <v>#REF!</v>
      </c>
      <c r="AG25" s="545" t="e">
        <f t="shared" ca="1" si="37"/>
        <v>#REF!</v>
      </c>
      <c r="AH25" s="546" t="e">
        <f t="shared" ca="1" si="38"/>
        <v>#REF!</v>
      </c>
      <c r="AI25" s="546" t="e">
        <f t="shared" ca="1" si="39"/>
        <v>#REF!</v>
      </c>
      <c r="AJ25" s="546" t="e">
        <f t="shared" ca="1" si="40"/>
        <v>#REF!</v>
      </c>
      <c r="AK25" s="546" t="e">
        <f t="shared" ca="1" si="41"/>
        <v>#REF!</v>
      </c>
      <c r="AL25" s="546" t="e">
        <f t="shared" ca="1" si="42"/>
        <v>#REF!</v>
      </c>
      <c r="AM25" t="s">
        <v>613</v>
      </c>
    </row>
    <row r="26" spans="1:39" ht="12.75">
      <c r="A26" s="559" t="s">
        <v>1470</v>
      </c>
      <c r="B26" s="529"/>
      <c r="C26" s="450"/>
      <c r="D26" s="547">
        <v>5</v>
      </c>
      <c r="E26" s="548" t="s">
        <v>340</v>
      </c>
      <c r="F26" s="444" t="e">
        <f t="shared" ca="1" si="28"/>
        <v>#REF!</v>
      </c>
      <c r="G26" s="549" t="e">
        <f t="shared" ca="1" si="29"/>
        <v>#REF!</v>
      </c>
      <c r="H26" s="550" t="str">
        <f t="shared" ca="1" si="30"/>
        <v>-</v>
      </c>
      <c r="I26" s="550" t="str">
        <f t="shared" ca="1" si="31"/>
        <v>-</v>
      </c>
      <c r="J26" s="551" t="e">
        <f t="shared" ca="1" si="32"/>
        <v>#REF!</v>
      </c>
      <c r="K26" s="549" t="e">
        <f t="shared" ca="1" si="33"/>
        <v>#REF!</v>
      </c>
      <c r="L26" s="552" t="e">
        <f>INDEX(LCIAbg!$1:$1048576,7,MATCH('X-Exchange'!$U26,LCIAbg!$15:$15,0))*T26</f>
        <v>#N/A</v>
      </c>
      <c r="M26" s="537">
        <v>1</v>
      </c>
      <c r="N26" s="538" t="e">
        <f t="shared" ca="1" si="15"/>
        <v>#REF!</v>
      </c>
      <c r="O26" s="539" t="e">
        <f t="shared" ca="1" si="6"/>
        <v>#REF!</v>
      </c>
      <c r="P26" s="552"/>
      <c r="Q26" s="537">
        <v>1</v>
      </c>
      <c r="R26" s="538" t="e">
        <f t="shared" ca="1" si="16"/>
        <v>#REF!</v>
      </c>
      <c r="S26" s="553" t="e">
        <f t="shared" ca="1" si="7"/>
        <v>#REF!</v>
      </c>
      <c r="T26" s="500">
        <f t="shared" ref="T26:T28" si="43">1/3.6</f>
        <v>0.27777777777777779</v>
      </c>
      <c r="U26" s="558" t="s">
        <v>296</v>
      </c>
      <c r="V26" s="554" t="str">
        <f t="shared" si="20"/>
        <v>entry in questionnaire</v>
      </c>
      <c r="W26" s="554" t="s">
        <v>1489</v>
      </c>
      <c r="X26" s="433">
        <v>1</v>
      </c>
      <c r="Y26" s="433">
        <v>1</v>
      </c>
      <c r="Z26" s="433">
        <v>1</v>
      </c>
      <c r="AA26" s="433">
        <v>1</v>
      </c>
      <c r="AB26" s="433">
        <v>1</v>
      </c>
      <c r="AC26" s="498" t="e">
        <f t="shared" ca="1" si="8"/>
        <v>#REF!</v>
      </c>
      <c r="AD26" s="542" t="e">
        <f t="shared" ca="1" si="34"/>
        <v>#REF!</v>
      </c>
      <c r="AE26" s="543" t="e">
        <f t="shared" ca="1" si="35"/>
        <v>#REF!</v>
      </c>
      <c r="AF26" s="544" t="e">
        <f t="shared" ca="1" si="36"/>
        <v>#REF!</v>
      </c>
      <c r="AG26" s="545" t="e">
        <f t="shared" ca="1" si="37"/>
        <v>#REF!</v>
      </c>
      <c r="AH26" s="546" t="e">
        <f t="shared" ca="1" si="38"/>
        <v>#REF!</v>
      </c>
      <c r="AI26" s="546" t="e">
        <f t="shared" ca="1" si="39"/>
        <v>#REF!</v>
      </c>
      <c r="AJ26" s="546" t="e">
        <f t="shared" ca="1" si="40"/>
        <v>#REF!</v>
      </c>
      <c r="AK26" s="546" t="e">
        <f t="shared" ca="1" si="41"/>
        <v>#REF!</v>
      </c>
      <c r="AL26" s="546" t="e">
        <f t="shared" ca="1" si="42"/>
        <v>#REF!</v>
      </c>
      <c r="AM26" t="s">
        <v>614</v>
      </c>
    </row>
    <row r="27" spans="1:39" ht="12.75">
      <c r="A27" s="559" t="s">
        <v>1471</v>
      </c>
      <c r="B27" s="529"/>
      <c r="C27" s="450"/>
      <c r="D27" s="547">
        <v>5</v>
      </c>
      <c r="E27" s="548" t="s">
        <v>340</v>
      </c>
      <c r="F27" s="444" t="e">
        <f t="shared" ca="1" si="28"/>
        <v>#REF!</v>
      </c>
      <c r="G27" s="549" t="e">
        <f t="shared" ca="1" si="29"/>
        <v>#REF!</v>
      </c>
      <c r="H27" s="550" t="str">
        <f t="shared" ca="1" si="30"/>
        <v>-</v>
      </c>
      <c r="I27" s="550" t="str">
        <f t="shared" ca="1" si="31"/>
        <v>-</v>
      </c>
      <c r="J27" s="551" t="e">
        <f t="shared" ca="1" si="32"/>
        <v>#REF!</v>
      </c>
      <c r="K27" s="549" t="e">
        <f t="shared" ca="1" si="33"/>
        <v>#REF!</v>
      </c>
      <c r="L27" s="552" t="e">
        <f>INDEX(LCIAbg!$1:$1048576,7,MATCH('X-Exchange'!$U27,LCIAbg!$15:$15,0))*T27</f>
        <v>#N/A</v>
      </c>
      <c r="M27" s="537">
        <v>1</v>
      </c>
      <c r="N27" s="538" t="e">
        <f t="shared" ca="1" si="15"/>
        <v>#REF!</v>
      </c>
      <c r="O27" s="539" t="e">
        <f t="shared" ca="1" si="6"/>
        <v>#REF!</v>
      </c>
      <c r="P27" s="552"/>
      <c r="Q27" s="537">
        <v>1</v>
      </c>
      <c r="R27" s="538" t="e">
        <f t="shared" ca="1" si="16"/>
        <v>#REF!</v>
      </c>
      <c r="S27" s="553" t="e">
        <f t="shared" ca="1" si="7"/>
        <v>#REF!</v>
      </c>
      <c r="T27" s="500">
        <f t="shared" si="43"/>
        <v>0.27777777777777779</v>
      </c>
      <c r="U27" s="558" t="s">
        <v>297</v>
      </c>
      <c r="V27" s="554" t="str">
        <f t="shared" si="20"/>
        <v>entry in questionnaire</v>
      </c>
      <c r="W27" s="554" t="s">
        <v>1489</v>
      </c>
      <c r="X27" s="433">
        <v>1</v>
      </c>
      <c r="Y27" s="433">
        <v>1</v>
      </c>
      <c r="Z27" s="433">
        <v>1</v>
      </c>
      <c r="AA27" s="433">
        <v>1</v>
      </c>
      <c r="AB27" s="433">
        <v>1</v>
      </c>
      <c r="AC27" s="498" t="e">
        <f t="shared" ca="1" si="8"/>
        <v>#REF!</v>
      </c>
      <c r="AD27" s="542" t="e">
        <f t="shared" ca="1" si="34"/>
        <v>#REF!</v>
      </c>
      <c r="AE27" s="543" t="e">
        <f t="shared" ca="1" si="35"/>
        <v>#REF!</v>
      </c>
      <c r="AF27" s="544" t="e">
        <f t="shared" ca="1" si="36"/>
        <v>#REF!</v>
      </c>
      <c r="AG27" s="545" t="e">
        <f t="shared" ca="1" si="37"/>
        <v>#REF!</v>
      </c>
      <c r="AH27" s="546" t="e">
        <f t="shared" ca="1" si="38"/>
        <v>#REF!</v>
      </c>
      <c r="AI27" s="546" t="e">
        <f t="shared" ca="1" si="39"/>
        <v>#REF!</v>
      </c>
      <c r="AJ27" s="546" t="e">
        <f t="shared" ca="1" si="40"/>
        <v>#REF!</v>
      </c>
      <c r="AK27" s="546" t="e">
        <f t="shared" ca="1" si="41"/>
        <v>#REF!</v>
      </c>
      <c r="AL27" s="546" t="e">
        <f t="shared" ca="1" si="42"/>
        <v>#REF!</v>
      </c>
      <c r="AM27" t="s">
        <v>615</v>
      </c>
    </row>
    <row r="28" spans="1:39" ht="12.75">
      <c r="A28" s="559" t="s">
        <v>1472</v>
      </c>
      <c r="B28" s="529"/>
      <c r="C28" s="450"/>
      <c r="D28" s="547">
        <v>5</v>
      </c>
      <c r="E28" s="548" t="s">
        <v>340</v>
      </c>
      <c r="F28" s="444" t="e">
        <f t="shared" ca="1" si="28"/>
        <v>#REF!</v>
      </c>
      <c r="G28" s="549" t="e">
        <f t="shared" ca="1" si="29"/>
        <v>#REF!</v>
      </c>
      <c r="H28" s="550" t="str">
        <f t="shared" ca="1" si="30"/>
        <v>-</v>
      </c>
      <c r="I28" s="550" t="str">
        <f t="shared" ca="1" si="31"/>
        <v>-</v>
      </c>
      <c r="J28" s="551" t="e">
        <f t="shared" ca="1" si="32"/>
        <v>#REF!</v>
      </c>
      <c r="K28" s="549" t="e">
        <f t="shared" ca="1" si="33"/>
        <v>#REF!</v>
      </c>
      <c r="L28" s="552" t="e">
        <f>INDEX(LCIAbg!$1:$1048576,7,MATCH('X-Exchange'!$U28,LCIAbg!$15:$15,0))*T28</f>
        <v>#N/A</v>
      </c>
      <c r="M28" s="537">
        <v>1</v>
      </c>
      <c r="N28" s="538" t="e">
        <f t="shared" ca="1" si="15"/>
        <v>#REF!</v>
      </c>
      <c r="O28" s="539" t="e">
        <f t="shared" ca="1" si="6"/>
        <v>#REF!</v>
      </c>
      <c r="P28" s="552"/>
      <c r="Q28" s="537">
        <v>1</v>
      </c>
      <c r="R28" s="538" t="e">
        <f t="shared" ca="1" si="16"/>
        <v>#REF!</v>
      </c>
      <c r="S28" s="553" t="e">
        <f t="shared" ca="1" si="7"/>
        <v>#REF!</v>
      </c>
      <c r="T28" s="500">
        <f t="shared" si="43"/>
        <v>0.27777777777777779</v>
      </c>
      <c r="U28" s="558" t="s">
        <v>366</v>
      </c>
      <c r="V28" s="554" t="str">
        <f t="shared" si="20"/>
        <v>entry in questionnaire</v>
      </c>
      <c r="W28" s="554" t="s">
        <v>1489</v>
      </c>
      <c r="X28" s="433">
        <v>1</v>
      </c>
      <c r="Y28" s="433">
        <v>1</v>
      </c>
      <c r="Z28" s="433">
        <v>1</v>
      </c>
      <c r="AA28" s="433">
        <v>1</v>
      </c>
      <c r="AB28" s="433">
        <v>1</v>
      </c>
      <c r="AC28" s="498" t="e">
        <f t="shared" ca="1" si="8"/>
        <v>#REF!</v>
      </c>
      <c r="AD28" s="542" t="e">
        <f t="shared" ca="1" si="34"/>
        <v>#REF!</v>
      </c>
      <c r="AE28" s="543" t="e">
        <f t="shared" ca="1" si="35"/>
        <v>#REF!</v>
      </c>
      <c r="AF28" s="544" t="e">
        <f t="shared" ca="1" si="36"/>
        <v>#REF!</v>
      </c>
      <c r="AG28" s="545" t="e">
        <f t="shared" ca="1" si="37"/>
        <v>#REF!</v>
      </c>
      <c r="AH28" s="546" t="e">
        <f t="shared" ca="1" si="38"/>
        <v>#REF!</v>
      </c>
      <c r="AI28" s="546" t="e">
        <f t="shared" ca="1" si="39"/>
        <v>#REF!</v>
      </c>
      <c r="AJ28" s="546" t="e">
        <f t="shared" ca="1" si="40"/>
        <v>#REF!</v>
      </c>
      <c r="AK28" s="546" t="e">
        <f t="shared" ca="1" si="41"/>
        <v>#REF!</v>
      </c>
      <c r="AL28" s="546" t="e">
        <f t="shared" ca="1" si="42"/>
        <v>#REF!</v>
      </c>
      <c r="AM28" t="s">
        <v>616</v>
      </c>
    </row>
    <row r="29" spans="1:39" ht="12.75">
      <c r="A29" s="559" t="s">
        <v>1443</v>
      </c>
      <c r="B29" s="529"/>
      <c r="C29" s="450"/>
      <c r="D29" s="547">
        <v>5</v>
      </c>
      <c r="E29" s="548" t="s">
        <v>340</v>
      </c>
      <c r="F29" s="444" t="e">
        <f t="shared" ca="1" si="28"/>
        <v>#REF!</v>
      </c>
      <c r="G29" s="549" t="e">
        <f t="shared" ca="1" si="29"/>
        <v>#REF!</v>
      </c>
      <c r="H29" s="550" t="str">
        <f t="shared" ca="1" si="30"/>
        <v>-</v>
      </c>
      <c r="I29" s="550" t="str">
        <f t="shared" ca="1" si="31"/>
        <v>-</v>
      </c>
      <c r="J29" s="551" t="e">
        <f t="shared" ca="1" si="32"/>
        <v>#REF!</v>
      </c>
      <c r="K29" s="549" t="e">
        <f t="shared" ca="1" si="33"/>
        <v>#REF!</v>
      </c>
      <c r="L29" s="552" t="e">
        <f>INDEX(LCIAbg!$1:$1048576,7,MATCH('X-Exchange'!$U29,LCIAbg!$15:$15,0))*T29</f>
        <v>#N/A</v>
      </c>
      <c r="M29" s="537">
        <v>1</v>
      </c>
      <c r="N29" s="538" t="e">
        <f t="shared" ca="1" si="15"/>
        <v>#REF!</v>
      </c>
      <c r="O29" s="539" t="e">
        <f t="shared" ca="1" si="6"/>
        <v>#REF!</v>
      </c>
      <c r="P29" s="552"/>
      <c r="Q29" s="537">
        <v>1</v>
      </c>
      <c r="R29" s="538" t="e">
        <f t="shared" ca="1" si="16"/>
        <v>#REF!</v>
      </c>
      <c r="S29" s="553" t="e">
        <f t="shared" ca="1" si="7"/>
        <v>#REF!</v>
      </c>
      <c r="T29" s="500">
        <v>1</v>
      </c>
      <c r="U29" s="558" t="s">
        <v>846</v>
      </c>
      <c r="V29" s="554" t="str">
        <f t="shared" si="20"/>
        <v>entry in questionnaire</v>
      </c>
      <c r="W29" s="554" t="s">
        <v>1489</v>
      </c>
      <c r="X29" s="433">
        <v>1</v>
      </c>
      <c r="Y29" s="433">
        <v>1</v>
      </c>
      <c r="Z29" s="433">
        <v>1</v>
      </c>
      <c r="AA29" s="433">
        <v>1</v>
      </c>
      <c r="AB29" s="433">
        <v>1</v>
      </c>
      <c r="AC29" s="498" t="e">
        <f t="shared" ca="1" si="8"/>
        <v>#REF!</v>
      </c>
      <c r="AD29" s="542" t="e">
        <f t="shared" ca="1" si="34"/>
        <v>#REF!</v>
      </c>
      <c r="AE29" s="543" t="e">
        <f t="shared" ca="1" si="35"/>
        <v>#REF!</v>
      </c>
      <c r="AF29" s="544" t="e">
        <f t="shared" ca="1" si="36"/>
        <v>#REF!</v>
      </c>
      <c r="AG29" s="545" t="e">
        <f t="shared" ca="1" si="37"/>
        <v>#REF!</v>
      </c>
      <c r="AH29" s="546" t="e">
        <f t="shared" ca="1" si="38"/>
        <v>#REF!</v>
      </c>
      <c r="AI29" s="546" t="e">
        <f t="shared" ca="1" si="39"/>
        <v>#REF!</v>
      </c>
      <c r="AJ29" s="546" t="e">
        <f t="shared" ca="1" si="40"/>
        <v>#REF!</v>
      </c>
      <c r="AK29" s="546" t="e">
        <f t="shared" ca="1" si="41"/>
        <v>#REF!</v>
      </c>
      <c r="AL29" s="546" t="e">
        <f t="shared" ca="1" si="42"/>
        <v>#REF!</v>
      </c>
      <c r="AM29" t="s">
        <v>835</v>
      </c>
    </row>
    <row r="30" spans="1:39" ht="12.75">
      <c r="A30" s="563" t="s">
        <v>1444</v>
      </c>
      <c r="B30" s="529"/>
      <c r="C30" s="450"/>
      <c r="D30" s="547">
        <v>5</v>
      </c>
      <c r="E30" s="548" t="s">
        <v>340</v>
      </c>
      <c r="F30" s="444" t="e">
        <f t="shared" ca="1" si="28"/>
        <v>#REF!</v>
      </c>
      <c r="G30" s="549" t="e">
        <f t="shared" ca="1" si="29"/>
        <v>#REF!</v>
      </c>
      <c r="H30" s="550" t="str">
        <f t="shared" ca="1" si="30"/>
        <v>-</v>
      </c>
      <c r="I30" s="550" t="str">
        <f t="shared" ca="1" si="31"/>
        <v>-</v>
      </c>
      <c r="J30" s="551" t="e">
        <f t="shared" ca="1" si="32"/>
        <v>#REF!</v>
      </c>
      <c r="K30" s="549" t="e">
        <f t="shared" ca="1" si="33"/>
        <v>#REF!</v>
      </c>
      <c r="L30" s="552" t="e">
        <f>INDEX(LCIAbg!$1:$1048576,7,MATCH('X-Exchange'!$U30,LCIAbg!$15:$15,0))*T30</f>
        <v>#N/A</v>
      </c>
      <c r="M30" s="537">
        <v>1</v>
      </c>
      <c r="N30" s="538" t="e">
        <f t="shared" ca="1" si="15"/>
        <v>#REF!</v>
      </c>
      <c r="O30" s="539" t="e">
        <f t="shared" ca="1" si="6"/>
        <v>#REF!</v>
      </c>
      <c r="P30" s="552"/>
      <c r="Q30" s="537">
        <v>1</v>
      </c>
      <c r="R30" s="538" t="e">
        <f t="shared" ca="1" si="16"/>
        <v>#REF!</v>
      </c>
      <c r="S30" s="553" t="e">
        <f t="shared" ca="1" si="7"/>
        <v>#REF!</v>
      </c>
      <c r="T30" s="500">
        <v>1</v>
      </c>
      <c r="U30" s="558" t="s">
        <v>9</v>
      </c>
      <c r="V30" s="554" t="str">
        <f t="shared" si="20"/>
        <v>entry in questionnaire</v>
      </c>
      <c r="W30" s="554" t="s">
        <v>1489</v>
      </c>
      <c r="X30" s="433">
        <v>1</v>
      </c>
      <c r="Y30" s="433">
        <v>1</v>
      </c>
      <c r="Z30" s="433">
        <v>1</v>
      </c>
      <c r="AA30" s="433">
        <v>1</v>
      </c>
      <c r="AB30" s="433">
        <v>1</v>
      </c>
      <c r="AC30" s="498" t="e">
        <f t="shared" ca="1" si="8"/>
        <v>#REF!</v>
      </c>
      <c r="AD30" s="542" t="e">
        <f t="shared" ca="1" si="34"/>
        <v>#REF!</v>
      </c>
      <c r="AE30" s="543" t="e">
        <f t="shared" ca="1" si="35"/>
        <v>#REF!</v>
      </c>
      <c r="AF30" s="544" t="e">
        <f t="shared" ca="1" si="36"/>
        <v>#REF!</v>
      </c>
      <c r="AG30" s="545" t="e">
        <f t="shared" ca="1" si="37"/>
        <v>#REF!</v>
      </c>
      <c r="AH30" s="546" t="e">
        <f t="shared" ca="1" si="38"/>
        <v>#REF!</v>
      </c>
      <c r="AI30" s="546" t="e">
        <f t="shared" ca="1" si="39"/>
        <v>#REF!</v>
      </c>
      <c r="AJ30" s="546" t="e">
        <f t="shared" ca="1" si="40"/>
        <v>#REF!</v>
      </c>
      <c r="AK30" s="546" t="e">
        <f t="shared" ca="1" si="41"/>
        <v>#REF!</v>
      </c>
      <c r="AL30" s="546" t="e">
        <f t="shared" ca="1" si="42"/>
        <v>#REF!</v>
      </c>
      <c r="AM30" t="s">
        <v>618</v>
      </c>
    </row>
    <row r="31" spans="1:39" ht="12.75">
      <c r="A31" s="563" t="s">
        <v>1445</v>
      </c>
      <c r="B31" s="529"/>
      <c r="C31" s="450"/>
      <c r="D31" s="547">
        <v>5</v>
      </c>
      <c r="E31" s="548" t="s">
        <v>340</v>
      </c>
      <c r="F31" s="444" t="e">
        <f t="shared" ca="1" si="28"/>
        <v>#REF!</v>
      </c>
      <c r="G31" s="549" t="e">
        <f t="shared" ca="1" si="29"/>
        <v>#REF!</v>
      </c>
      <c r="H31" s="550" t="str">
        <f t="shared" ca="1" si="30"/>
        <v>-</v>
      </c>
      <c r="I31" s="550" t="str">
        <f t="shared" ca="1" si="31"/>
        <v>-</v>
      </c>
      <c r="J31" s="551" t="e">
        <f t="shared" ca="1" si="32"/>
        <v>#REF!</v>
      </c>
      <c r="K31" s="549" t="e">
        <f t="shared" ca="1" si="33"/>
        <v>#REF!</v>
      </c>
      <c r="L31" s="552" t="e">
        <f>INDEX(LCIAbg!$1:$1048576,7,MATCH('X-Exchange'!$U31,LCIAbg!$15:$15,0))*T31</f>
        <v>#N/A</v>
      </c>
      <c r="M31" s="537">
        <v>1</v>
      </c>
      <c r="N31" s="538" t="e">
        <f t="shared" ca="1" si="15"/>
        <v>#REF!</v>
      </c>
      <c r="O31" s="539" t="e">
        <f t="shared" ca="1" si="6"/>
        <v>#REF!</v>
      </c>
      <c r="P31" s="552"/>
      <c r="Q31" s="537">
        <v>1</v>
      </c>
      <c r="R31" s="538" t="e">
        <f t="shared" ca="1" si="16"/>
        <v>#REF!</v>
      </c>
      <c r="S31" s="553" t="e">
        <f t="shared" ca="1" si="7"/>
        <v>#REF!</v>
      </c>
      <c r="T31" s="500">
        <v>1000</v>
      </c>
      <c r="U31" s="558" t="s">
        <v>303</v>
      </c>
      <c r="V31" s="554" t="str">
        <f t="shared" si="20"/>
        <v>entry in questionnaire</v>
      </c>
      <c r="W31" s="554" t="s">
        <v>1489</v>
      </c>
      <c r="X31" s="433">
        <v>1</v>
      </c>
      <c r="Y31" s="433">
        <v>1</v>
      </c>
      <c r="Z31" s="433">
        <v>1</v>
      </c>
      <c r="AA31" s="433">
        <v>1</v>
      </c>
      <c r="AB31" s="433">
        <v>1</v>
      </c>
      <c r="AC31" s="498" t="e">
        <f t="shared" ca="1" si="8"/>
        <v>#REF!</v>
      </c>
      <c r="AD31" s="542" t="e">
        <f t="shared" ca="1" si="34"/>
        <v>#REF!</v>
      </c>
      <c r="AE31" s="543" t="e">
        <f t="shared" ca="1" si="35"/>
        <v>#REF!</v>
      </c>
      <c r="AF31" s="544" t="e">
        <f t="shared" ca="1" si="36"/>
        <v>#REF!</v>
      </c>
      <c r="AG31" s="545" t="e">
        <f t="shared" ca="1" si="37"/>
        <v>#REF!</v>
      </c>
      <c r="AH31" s="546" t="e">
        <f t="shared" ca="1" si="38"/>
        <v>#REF!</v>
      </c>
      <c r="AI31" s="546" t="e">
        <f t="shared" ca="1" si="39"/>
        <v>#REF!</v>
      </c>
      <c r="AJ31" s="546" t="e">
        <f t="shared" ca="1" si="40"/>
        <v>#REF!</v>
      </c>
      <c r="AK31" s="546" t="e">
        <f t="shared" ca="1" si="41"/>
        <v>#REF!</v>
      </c>
      <c r="AL31" s="546" t="e">
        <f t="shared" ca="1" si="42"/>
        <v>#REF!</v>
      </c>
      <c r="AM31" t="s">
        <v>619</v>
      </c>
    </row>
    <row r="32" spans="1:39" ht="12.75">
      <c r="A32" s="559" t="s">
        <v>1446</v>
      </c>
      <c r="B32" s="529"/>
      <c r="C32" s="450"/>
      <c r="D32" s="547">
        <v>5</v>
      </c>
      <c r="E32" s="548" t="s">
        <v>340</v>
      </c>
      <c r="F32" s="444" t="e">
        <f t="shared" ca="1" si="28"/>
        <v>#REF!</v>
      </c>
      <c r="G32" s="549" t="e">
        <f t="shared" ca="1" si="29"/>
        <v>#REF!</v>
      </c>
      <c r="H32" s="550" t="str">
        <f t="shared" ca="1" si="30"/>
        <v>-</v>
      </c>
      <c r="I32" s="550" t="str">
        <f t="shared" ca="1" si="31"/>
        <v>-</v>
      </c>
      <c r="J32" s="551" t="e">
        <f t="shared" ca="1" si="32"/>
        <v>#REF!</v>
      </c>
      <c r="K32" s="549" t="e">
        <f t="shared" ca="1" si="33"/>
        <v>#REF!</v>
      </c>
      <c r="L32" s="552" t="e">
        <f>INDEX(LCIAbg!$1:$1048576,7,MATCH('X-Exchange'!$U32,LCIAbg!$15:$15,0))*T32</f>
        <v>#N/A</v>
      </c>
      <c r="M32" s="537">
        <v>1</v>
      </c>
      <c r="N32" s="538" t="e">
        <f t="shared" ca="1" si="15"/>
        <v>#REF!</v>
      </c>
      <c r="O32" s="539" t="e">
        <f t="shared" ca="1" si="6"/>
        <v>#REF!</v>
      </c>
      <c r="P32" s="552"/>
      <c r="Q32" s="537">
        <v>1</v>
      </c>
      <c r="R32" s="538" t="e">
        <f t="shared" ca="1" si="16"/>
        <v>#REF!</v>
      </c>
      <c r="S32" s="553" t="e">
        <f t="shared" ca="1" si="7"/>
        <v>#REF!</v>
      </c>
      <c r="T32" s="500">
        <v>1</v>
      </c>
      <c r="U32" s="558" t="s">
        <v>304</v>
      </c>
      <c r="V32" s="554" t="str">
        <f t="shared" si="20"/>
        <v>entry in questionnaire</v>
      </c>
      <c r="W32" s="554" t="s">
        <v>1489</v>
      </c>
      <c r="X32" s="433">
        <v>1</v>
      </c>
      <c r="Y32" s="433">
        <v>1</v>
      </c>
      <c r="Z32" s="433">
        <v>1</v>
      </c>
      <c r="AA32" s="433">
        <v>1</v>
      </c>
      <c r="AB32" s="433">
        <v>1</v>
      </c>
      <c r="AC32" s="498" t="e">
        <f t="shared" ca="1" si="8"/>
        <v>#REF!</v>
      </c>
      <c r="AD32" s="542" t="e">
        <f t="shared" ca="1" si="34"/>
        <v>#REF!</v>
      </c>
      <c r="AE32" s="543" t="e">
        <f t="shared" ca="1" si="35"/>
        <v>#REF!</v>
      </c>
      <c r="AF32" s="544" t="e">
        <f t="shared" ca="1" si="36"/>
        <v>#REF!</v>
      </c>
      <c r="AG32" s="545" t="e">
        <f t="shared" ca="1" si="37"/>
        <v>#REF!</v>
      </c>
      <c r="AH32" s="546" t="e">
        <f t="shared" ca="1" si="38"/>
        <v>#REF!</v>
      </c>
      <c r="AI32" s="546" t="e">
        <f t="shared" ca="1" si="39"/>
        <v>#REF!</v>
      </c>
      <c r="AJ32" s="546" t="e">
        <f t="shared" ca="1" si="40"/>
        <v>#REF!</v>
      </c>
      <c r="AK32" s="546" t="e">
        <f t="shared" ca="1" si="41"/>
        <v>#REF!</v>
      </c>
      <c r="AL32" s="546" t="e">
        <f t="shared" ca="1" si="42"/>
        <v>#REF!</v>
      </c>
      <c r="AM32" t="s">
        <v>621</v>
      </c>
    </row>
    <row r="33" spans="1:39" ht="12.75">
      <c r="A33" s="564">
        <v>6861</v>
      </c>
      <c r="B33" s="529"/>
      <c r="C33" s="450"/>
      <c r="D33" s="547">
        <v>5</v>
      </c>
      <c r="E33" s="548" t="s">
        <v>340</v>
      </c>
      <c r="F33" s="444" t="e">
        <f t="shared" ca="1" si="28"/>
        <v>#REF!</v>
      </c>
      <c r="G33" s="549" t="e">
        <f t="shared" ca="1" si="29"/>
        <v>#REF!</v>
      </c>
      <c r="H33" s="550" t="str">
        <f t="shared" ca="1" si="30"/>
        <v>-</v>
      </c>
      <c r="I33" s="550" t="str">
        <f t="shared" ca="1" si="31"/>
        <v>-</v>
      </c>
      <c r="J33" s="551" t="e">
        <f t="shared" ca="1" si="32"/>
        <v>#REF!</v>
      </c>
      <c r="K33" s="549" t="e">
        <f t="shared" ca="1" si="33"/>
        <v>#REF!</v>
      </c>
      <c r="L33" s="552" t="e">
        <f>INDEX(LCIAbg!$1:$1048576,7,MATCH('X-Exchange'!$U33,LCIAbg!$15:$15,0))*T33</f>
        <v>#N/A</v>
      </c>
      <c r="M33" s="537">
        <v>1</v>
      </c>
      <c r="N33" s="538" t="e">
        <f t="shared" ca="1" si="15"/>
        <v>#REF!</v>
      </c>
      <c r="O33" s="539" t="e">
        <f t="shared" ca="1" si="6"/>
        <v>#REF!</v>
      </c>
      <c r="P33" s="552"/>
      <c r="Q33" s="537">
        <v>1</v>
      </c>
      <c r="R33" s="538" t="e">
        <f t="shared" ca="1" si="16"/>
        <v>#REF!</v>
      </c>
      <c r="S33" s="553" t="e">
        <f t="shared" ca="1" si="7"/>
        <v>#REF!</v>
      </c>
      <c r="T33" s="500">
        <v>4200</v>
      </c>
      <c r="U33" s="558" t="s">
        <v>976</v>
      </c>
      <c r="V33" s="554" t="str">
        <f t="shared" si="20"/>
        <v>entry in questionnaire</v>
      </c>
      <c r="W33" s="554" t="s">
        <v>1489</v>
      </c>
      <c r="X33" s="433">
        <v>1</v>
      </c>
      <c r="Y33" s="433">
        <v>1</v>
      </c>
      <c r="Z33" s="433">
        <v>1</v>
      </c>
      <c r="AA33" s="433">
        <v>1</v>
      </c>
      <c r="AB33" s="433">
        <v>1</v>
      </c>
      <c r="AC33" s="498" t="e">
        <f t="shared" ca="1" si="8"/>
        <v>#REF!</v>
      </c>
      <c r="AD33" s="542" t="e">
        <f t="shared" ca="1" si="34"/>
        <v>#REF!</v>
      </c>
      <c r="AE33" s="543" t="e">
        <f t="shared" ca="1" si="35"/>
        <v>#REF!</v>
      </c>
      <c r="AF33" s="544" t="e">
        <f t="shared" ca="1" si="36"/>
        <v>#REF!</v>
      </c>
      <c r="AG33" s="545" t="e">
        <f t="shared" ca="1" si="37"/>
        <v>#REF!</v>
      </c>
      <c r="AH33" s="546" t="e">
        <f t="shared" ca="1" si="38"/>
        <v>#REF!</v>
      </c>
      <c r="AI33" s="546" t="e">
        <f t="shared" ca="1" si="39"/>
        <v>#REF!</v>
      </c>
      <c r="AJ33" s="546" t="e">
        <f t="shared" ca="1" si="40"/>
        <v>#REF!</v>
      </c>
      <c r="AK33" s="546" t="e">
        <f t="shared" ca="1" si="41"/>
        <v>#REF!</v>
      </c>
      <c r="AL33" s="546" t="e">
        <f t="shared" ca="1" si="42"/>
        <v>#REF!</v>
      </c>
      <c r="AM33" t="s">
        <v>1011</v>
      </c>
    </row>
    <row r="34" spans="1:39" ht="12.75">
      <c r="A34" s="559" t="s">
        <v>1439</v>
      </c>
      <c r="B34" s="529"/>
      <c r="C34" s="450"/>
      <c r="D34" s="547">
        <v>5</v>
      </c>
      <c r="E34" s="548" t="s">
        <v>340</v>
      </c>
      <c r="F34" s="444" t="e">
        <f t="shared" ca="1" si="28"/>
        <v>#REF!</v>
      </c>
      <c r="G34" s="549" t="e">
        <f t="shared" ca="1" si="29"/>
        <v>#REF!</v>
      </c>
      <c r="H34" s="550" t="str">
        <f t="shared" ca="1" si="30"/>
        <v>-</v>
      </c>
      <c r="I34" s="550" t="str">
        <f t="shared" ca="1" si="31"/>
        <v>-</v>
      </c>
      <c r="J34" s="551" t="e">
        <f t="shared" ca="1" si="32"/>
        <v>#REF!</v>
      </c>
      <c r="K34" s="549" t="e">
        <f t="shared" ca="1" si="33"/>
        <v>#REF!</v>
      </c>
      <c r="L34" s="552" t="e">
        <f>INDEX(LCIAbg!$1:$1048576,7,MATCH('X-Exchange'!$U34,LCIAbg!$15:$15,0))*T34</f>
        <v>#N/A</v>
      </c>
      <c r="M34" s="537">
        <v>1</v>
      </c>
      <c r="N34" s="538" t="e">
        <f t="shared" ca="1" si="15"/>
        <v>#REF!</v>
      </c>
      <c r="O34" s="539" t="e">
        <f t="shared" ca="1" si="6"/>
        <v>#REF!</v>
      </c>
      <c r="P34" s="552"/>
      <c r="Q34" s="537">
        <v>1</v>
      </c>
      <c r="R34" s="538" t="e">
        <f t="shared" ca="1" si="16"/>
        <v>#REF!</v>
      </c>
      <c r="S34" s="553" t="e">
        <f t="shared" ca="1" si="7"/>
        <v>#REF!</v>
      </c>
      <c r="T34" s="500">
        <v>1000</v>
      </c>
      <c r="U34" s="558" t="s">
        <v>370</v>
      </c>
      <c r="V34" s="554" t="str">
        <f t="shared" si="20"/>
        <v>entry in questionnaire</v>
      </c>
      <c r="W34" s="554" t="s">
        <v>1489</v>
      </c>
      <c r="X34" s="433">
        <v>1</v>
      </c>
      <c r="Y34" s="433">
        <v>1</v>
      </c>
      <c r="Z34" s="433">
        <v>1</v>
      </c>
      <c r="AA34" s="433">
        <v>1</v>
      </c>
      <c r="AB34" s="433">
        <v>1</v>
      </c>
      <c r="AC34" s="498" t="e">
        <f t="shared" ca="1" si="8"/>
        <v>#REF!</v>
      </c>
      <c r="AD34" s="542" t="e">
        <f t="shared" ca="1" si="34"/>
        <v>#REF!</v>
      </c>
      <c r="AE34" s="543" t="e">
        <f t="shared" ca="1" si="35"/>
        <v>#REF!</v>
      </c>
      <c r="AF34" s="544" t="e">
        <f t="shared" ca="1" si="36"/>
        <v>#REF!</v>
      </c>
      <c r="AG34" s="545" t="e">
        <f t="shared" ca="1" si="37"/>
        <v>#REF!</v>
      </c>
      <c r="AH34" s="546" t="e">
        <f t="shared" ca="1" si="38"/>
        <v>#REF!</v>
      </c>
      <c r="AI34" s="546" t="e">
        <f t="shared" ca="1" si="39"/>
        <v>#REF!</v>
      </c>
      <c r="AJ34" s="546" t="e">
        <f t="shared" ca="1" si="40"/>
        <v>#REF!</v>
      </c>
      <c r="AK34" s="546" t="e">
        <f t="shared" ca="1" si="41"/>
        <v>#REF!</v>
      </c>
      <c r="AL34" s="546" t="e">
        <f t="shared" ca="1" si="42"/>
        <v>#REF!</v>
      </c>
      <c r="AM34" t="s">
        <v>624</v>
      </c>
    </row>
    <row r="35" spans="1:39" ht="12.75">
      <c r="A35" s="560">
        <v>1741</v>
      </c>
      <c r="B35" s="529"/>
      <c r="C35" s="450"/>
      <c r="D35" s="547">
        <v>5</v>
      </c>
      <c r="E35" s="548" t="s">
        <v>340</v>
      </c>
      <c r="F35" s="444" t="e">
        <f t="shared" ca="1" si="28"/>
        <v>#REF!</v>
      </c>
      <c r="G35" s="549" t="e">
        <f t="shared" ca="1" si="29"/>
        <v>#REF!</v>
      </c>
      <c r="H35" s="550" t="str">
        <f t="shared" ca="1" si="30"/>
        <v>-</v>
      </c>
      <c r="I35" s="550" t="str">
        <f t="shared" ca="1" si="31"/>
        <v>-</v>
      </c>
      <c r="J35" s="551" t="e">
        <f t="shared" ca="1" si="32"/>
        <v>#REF!</v>
      </c>
      <c r="K35" s="549" t="e">
        <f t="shared" ca="1" si="33"/>
        <v>#REF!</v>
      </c>
      <c r="L35" s="552" t="e">
        <f>INDEX(LCIAbg!$1:$1048576,7,MATCH('X-Exchange'!$U35,LCIAbg!$15:$15,0))*T35</f>
        <v>#N/A</v>
      </c>
      <c r="M35" s="537">
        <v>1</v>
      </c>
      <c r="N35" s="538" t="e">
        <f t="shared" ca="1" si="15"/>
        <v>#REF!</v>
      </c>
      <c r="O35" s="539" t="e">
        <f t="shared" ca="1" si="6"/>
        <v>#REF!</v>
      </c>
      <c r="P35" s="552"/>
      <c r="Q35" s="537">
        <v>1</v>
      </c>
      <c r="R35" s="538" t="e">
        <f t="shared" ca="1" si="16"/>
        <v>#REF!</v>
      </c>
      <c r="S35" s="553" t="e">
        <f t="shared" ca="1" si="7"/>
        <v>#REF!</v>
      </c>
      <c r="T35" s="500">
        <v>1</v>
      </c>
      <c r="U35" s="558" t="s">
        <v>365</v>
      </c>
      <c r="V35" s="554" t="str">
        <f t="shared" si="20"/>
        <v>entry in questionnaire</v>
      </c>
      <c r="W35" s="554" t="s">
        <v>1489</v>
      </c>
      <c r="X35" s="433">
        <v>1</v>
      </c>
      <c r="Y35" s="433">
        <v>1</v>
      </c>
      <c r="Z35" s="433">
        <v>1</v>
      </c>
      <c r="AA35" s="433">
        <v>1</v>
      </c>
      <c r="AB35" s="433">
        <v>1</v>
      </c>
      <c r="AC35" s="498" t="e">
        <f t="shared" ca="1" si="8"/>
        <v>#REF!</v>
      </c>
      <c r="AD35" s="542" t="e">
        <f t="shared" ca="1" si="34"/>
        <v>#REF!</v>
      </c>
      <c r="AE35" s="543" t="e">
        <f t="shared" ca="1" si="35"/>
        <v>#REF!</v>
      </c>
      <c r="AF35" s="544" t="e">
        <f t="shared" ca="1" si="36"/>
        <v>#REF!</v>
      </c>
      <c r="AG35" s="545" t="e">
        <f t="shared" ca="1" si="37"/>
        <v>#REF!</v>
      </c>
      <c r="AH35" s="546" t="e">
        <f t="shared" ca="1" si="38"/>
        <v>#REF!</v>
      </c>
      <c r="AI35" s="546" t="e">
        <f t="shared" ca="1" si="39"/>
        <v>#REF!</v>
      </c>
      <c r="AJ35" s="546" t="e">
        <f t="shared" ca="1" si="40"/>
        <v>#REF!</v>
      </c>
      <c r="AK35" s="546" t="e">
        <f t="shared" ca="1" si="41"/>
        <v>#REF!</v>
      </c>
      <c r="AL35" s="546" t="e">
        <f t="shared" ca="1" si="42"/>
        <v>#REF!</v>
      </c>
      <c r="AM35" t="s">
        <v>1012</v>
      </c>
    </row>
    <row r="36" spans="1:39" ht="12.75">
      <c r="A36" s="563" t="s">
        <v>1447</v>
      </c>
      <c r="B36" s="529"/>
      <c r="C36" s="450"/>
      <c r="D36" s="547">
        <v>5</v>
      </c>
      <c r="E36" s="548" t="s">
        <v>340</v>
      </c>
      <c r="F36" s="444" t="e">
        <f t="shared" ca="1" si="28"/>
        <v>#REF!</v>
      </c>
      <c r="G36" s="549" t="e">
        <f t="shared" ca="1" si="29"/>
        <v>#REF!</v>
      </c>
      <c r="H36" s="550" t="str">
        <f t="shared" ca="1" si="30"/>
        <v>-</v>
      </c>
      <c r="I36" s="550" t="str">
        <f t="shared" ca="1" si="31"/>
        <v>-</v>
      </c>
      <c r="J36" s="551" t="e">
        <f t="shared" ca="1" si="32"/>
        <v>#REF!</v>
      </c>
      <c r="K36" s="549" t="e">
        <f t="shared" ca="1" si="33"/>
        <v>#REF!</v>
      </c>
      <c r="L36" s="552" t="e">
        <f>INDEX(LCIAbg!$1:$1048576,7,MATCH('X-Exchange'!$U36,LCIAbg!$15:$15,0))*T36</f>
        <v>#N/A</v>
      </c>
      <c r="M36" s="537">
        <v>1</v>
      </c>
      <c r="N36" s="538" t="e">
        <f t="shared" ca="1" si="15"/>
        <v>#REF!</v>
      </c>
      <c r="O36" s="539" t="e">
        <f t="shared" ca="1" si="6"/>
        <v>#REF!</v>
      </c>
      <c r="P36" s="552"/>
      <c r="Q36" s="537">
        <v>1</v>
      </c>
      <c r="R36" s="538" t="e">
        <f t="shared" ca="1" si="16"/>
        <v>#REF!</v>
      </c>
      <c r="S36" s="553" t="e">
        <f t="shared" ca="1" si="7"/>
        <v>#REF!</v>
      </c>
      <c r="T36" s="500">
        <v>1</v>
      </c>
      <c r="U36" s="558" t="s">
        <v>952</v>
      </c>
      <c r="V36" s="554" t="str">
        <f t="shared" si="20"/>
        <v>entry in questionnaire</v>
      </c>
      <c r="W36" s="554" t="s">
        <v>1489</v>
      </c>
      <c r="X36" s="433">
        <v>1</v>
      </c>
      <c r="Y36" s="433">
        <v>1</v>
      </c>
      <c r="Z36" s="433">
        <v>1</v>
      </c>
      <c r="AA36" s="433">
        <v>1</v>
      </c>
      <c r="AB36" s="433">
        <v>1</v>
      </c>
      <c r="AC36" s="498" t="e">
        <f t="shared" ca="1" si="8"/>
        <v>#REF!</v>
      </c>
      <c r="AD36" s="542" t="e">
        <f t="shared" ca="1" si="34"/>
        <v>#REF!</v>
      </c>
      <c r="AE36" s="543" t="e">
        <f t="shared" ca="1" si="35"/>
        <v>#REF!</v>
      </c>
      <c r="AF36" s="544" t="e">
        <f t="shared" ca="1" si="36"/>
        <v>#REF!</v>
      </c>
      <c r="AG36" s="545" t="e">
        <f t="shared" ca="1" si="37"/>
        <v>#REF!</v>
      </c>
      <c r="AH36" s="546" t="e">
        <f t="shared" ca="1" si="38"/>
        <v>#REF!</v>
      </c>
      <c r="AI36" s="546" t="e">
        <f t="shared" ca="1" si="39"/>
        <v>#REF!</v>
      </c>
      <c r="AJ36" s="546" t="e">
        <f t="shared" ca="1" si="40"/>
        <v>#REF!</v>
      </c>
      <c r="AK36" s="546" t="e">
        <f t="shared" ca="1" si="41"/>
        <v>#REF!</v>
      </c>
      <c r="AL36" s="546" t="e">
        <f t="shared" ca="1" si="42"/>
        <v>#REF!</v>
      </c>
      <c r="AM36" t="s">
        <v>951</v>
      </c>
    </row>
    <row r="37" spans="1:39" ht="12.75">
      <c r="A37" s="560">
        <v>6390</v>
      </c>
      <c r="B37" s="529"/>
      <c r="C37" s="450"/>
      <c r="D37" s="547">
        <v>5</v>
      </c>
      <c r="E37" s="548" t="s">
        <v>340</v>
      </c>
      <c r="F37" s="444" t="e">
        <f t="shared" ca="1" si="28"/>
        <v>#REF!</v>
      </c>
      <c r="G37" s="549" t="e">
        <f t="shared" ca="1" si="29"/>
        <v>#REF!</v>
      </c>
      <c r="H37" s="550" t="str">
        <f t="shared" ca="1" si="30"/>
        <v>-</v>
      </c>
      <c r="I37" s="550" t="str">
        <f t="shared" ca="1" si="31"/>
        <v>-</v>
      </c>
      <c r="J37" s="551" t="e">
        <f t="shared" ca="1" si="32"/>
        <v>#REF!</v>
      </c>
      <c r="K37" s="549" t="e">
        <f t="shared" ca="1" si="33"/>
        <v>#REF!</v>
      </c>
      <c r="L37" s="552">
        <f>(SUMIF(Substrates!AY:AY,'X-Exchange'!U37,Substrates!BD:BD)+$L$108/$L$110)*T37</f>
        <v>0</v>
      </c>
      <c r="M37" s="537">
        <v>1</v>
      </c>
      <c r="N37" s="538" t="e">
        <f t="shared" ca="1" si="15"/>
        <v>#REF!</v>
      </c>
      <c r="O37" s="539" t="e">
        <f t="shared" ca="1" si="6"/>
        <v>#REF!</v>
      </c>
      <c r="P37" s="552"/>
      <c r="Q37" s="537">
        <v>1</v>
      </c>
      <c r="R37" s="538" t="e">
        <f t="shared" ca="1" si="16"/>
        <v>#REF!</v>
      </c>
      <c r="S37" s="553" t="e">
        <f t="shared" ca="1" si="7"/>
        <v>#REF!</v>
      </c>
      <c r="T37" s="500">
        <v>1</v>
      </c>
      <c r="U37" s="570" t="s">
        <v>256</v>
      </c>
      <c r="V37" s="554" t="str">
        <f t="shared" si="20"/>
        <v>entry in questionnaire</v>
      </c>
      <c r="W37" s="554" t="s">
        <v>1490</v>
      </c>
      <c r="X37" s="433">
        <v>1</v>
      </c>
      <c r="Y37" s="433">
        <v>1</v>
      </c>
      <c r="Z37" s="433">
        <v>1</v>
      </c>
      <c r="AA37" s="433">
        <v>1</v>
      </c>
      <c r="AB37" s="433">
        <v>1</v>
      </c>
      <c r="AC37" s="498" t="e">
        <f t="shared" ca="1" si="8"/>
        <v>#REF!</v>
      </c>
      <c r="AD37" s="542" t="e">
        <f t="shared" ca="1" si="34"/>
        <v>#REF!</v>
      </c>
      <c r="AE37" s="543" t="e">
        <f t="shared" ca="1" si="35"/>
        <v>#REF!</v>
      </c>
      <c r="AF37" s="544" t="e">
        <f t="shared" ca="1" si="36"/>
        <v>#REF!</v>
      </c>
      <c r="AG37" s="545" t="e">
        <f t="shared" ca="1" si="37"/>
        <v>#REF!</v>
      </c>
      <c r="AH37" s="546" t="e">
        <f t="shared" ca="1" si="38"/>
        <v>#REF!</v>
      </c>
      <c r="AI37" s="546" t="e">
        <f t="shared" ca="1" si="39"/>
        <v>#REF!</v>
      </c>
      <c r="AJ37" s="546" t="e">
        <f t="shared" ca="1" si="40"/>
        <v>#REF!</v>
      </c>
      <c r="AK37" s="546" t="e">
        <f t="shared" ca="1" si="41"/>
        <v>#REF!</v>
      </c>
      <c r="AL37" s="546" t="e">
        <f t="shared" ca="1" si="42"/>
        <v>#REF!</v>
      </c>
      <c r="AM37" t="s">
        <v>1018</v>
      </c>
    </row>
    <row r="38" spans="1:39" ht="12.75">
      <c r="A38" s="560">
        <v>1987</v>
      </c>
      <c r="B38" s="529"/>
      <c r="C38" s="450"/>
      <c r="D38" s="547">
        <v>5</v>
      </c>
      <c r="E38" s="548" t="s">
        <v>340</v>
      </c>
      <c r="F38" s="444" t="e">
        <f t="shared" ca="1" si="28"/>
        <v>#REF!</v>
      </c>
      <c r="G38" s="549" t="e">
        <f t="shared" ca="1" si="29"/>
        <v>#REF!</v>
      </c>
      <c r="H38" s="550" t="str">
        <f t="shared" ca="1" si="30"/>
        <v>-</v>
      </c>
      <c r="I38" s="550" t="str">
        <f t="shared" ca="1" si="31"/>
        <v>-</v>
      </c>
      <c r="J38" s="551" t="e">
        <f t="shared" ca="1" si="32"/>
        <v>#REF!</v>
      </c>
      <c r="K38" s="549" t="e">
        <f t="shared" ca="1" si="33"/>
        <v>#REF!</v>
      </c>
      <c r="L38" s="552">
        <f>(SUMIF(Substrates!AY:AY,'X-Exchange'!U38,Substrates!BD:BD)+$L$108/$L$110)*T38</f>
        <v>0</v>
      </c>
      <c r="M38" s="537">
        <v>1</v>
      </c>
      <c r="N38" s="538" t="e">
        <f t="shared" ca="1" si="15"/>
        <v>#REF!</v>
      </c>
      <c r="O38" s="539" t="e">
        <f t="shared" ca="1" si="6"/>
        <v>#REF!</v>
      </c>
      <c r="P38" s="552"/>
      <c r="Q38" s="537">
        <v>1</v>
      </c>
      <c r="R38" s="538" t="e">
        <f t="shared" ca="1" si="16"/>
        <v>#REF!</v>
      </c>
      <c r="S38" s="553" t="e">
        <f t="shared" ca="1" si="7"/>
        <v>#REF!</v>
      </c>
      <c r="T38" s="500">
        <v>1</v>
      </c>
      <c r="U38" s="570" t="s">
        <v>257</v>
      </c>
      <c r="V38" s="554" t="str">
        <f t="shared" si="20"/>
        <v>entry in questionnaire</v>
      </c>
      <c r="W38" s="554" t="s">
        <v>1490</v>
      </c>
      <c r="X38" s="433">
        <v>1</v>
      </c>
      <c r="Y38" s="433">
        <v>1</v>
      </c>
      <c r="Z38" s="433">
        <v>1</v>
      </c>
      <c r="AA38" s="433">
        <v>1</v>
      </c>
      <c r="AB38" s="433">
        <v>1</v>
      </c>
      <c r="AC38" s="498" t="e">
        <f t="shared" ca="1" si="8"/>
        <v>#REF!</v>
      </c>
      <c r="AD38" s="542" t="e">
        <f t="shared" ca="1" si="34"/>
        <v>#REF!</v>
      </c>
      <c r="AE38" s="543" t="e">
        <f t="shared" ca="1" si="35"/>
        <v>#REF!</v>
      </c>
      <c r="AF38" s="544" t="e">
        <f t="shared" ca="1" si="36"/>
        <v>#REF!</v>
      </c>
      <c r="AG38" s="545" t="e">
        <f t="shared" ca="1" si="37"/>
        <v>#REF!</v>
      </c>
      <c r="AH38" s="546" t="e">
        <f t="shared" ca="1" si="38"/>
        <v>#REF!</v>
      </c>
      <c r="AI38" s="546" t="e">
        <f t="shared" ca="1" si="39"/>
        <v>#REF!</v>
      </c>
      <c r="AJ38" s="546" t="e">
        <f t="shared" ca="1" si="40"/>
        <v>#REF!</v>
      </c>
      <c r="AK38" s="546" t="e">
        <f t="shared" ca="1" si="41"/>
        <v>#REF!</v>
      </c>
      <c r="AL38" s="546" t="e">
        <f t="shared" ca="1" si="42"/>
        <v>#REF!</v>
      </c>
      <c r="AM38" t="s">
        <v>1019</v>
      </c>
    </row>
    <row r="39" spans="1:39" ht="12.75">
      <c r="A39" s="560">
        <v>6844</v>
      </c>
      <c r="B39" s="529"/>
      <c r="C39" s="450"/>
      <c r="D39" s="547">
        <v>5</v>
      </c>
      <c r="E39" s="548" t="s">
        <v>340</v>
      </c>
      <c r="F39" s="444" t="e">
        <f t="shared" ca="1" si="28"/>
        <v>#REF!</v>
      </c>
      <c r="G39" s="549" t="e">
        <f t="shared" ca="1" si="29"/>
        <v>#REF!</v>
      </c>
      <c r="H39" s="550" t="str">
        <f t="shared" ca="1" si="30"/>
        <v>-</v>
      </c>
      <c r="I39" s="550" t="str">
        <f t="shared" ca="1" si="31"/>
        <v>-</v>
      </c>
      <c r="J39" s="551" t="e">
        <f t="shared" ca="1" si="32"/>
        <v>#REF!</v>
      </c>
      <c r="K39" s="549" t="e">
        <f t="shared" ca="1" si="33"/>
        <v>#REF!</v>
      </c>
      <c r="L39" s="552">
        <f>(SUMIF(Substrates!AY:AY,'X-Exchange'!U39,Substrates!BD:BD)+$L$108/$L$110)*T39</f>
        <v>0</v>
      </c>
      <c r="M39" s="537">
        <v>1</v>
      </c>
      <c r="N39" s="538" t="e">
        <f t="shared" ca="1" si="15"/>
        <v>#REF!</v>
      </c>
      <c r="O39" s="539" t="e">
        <f t="shared" ca="1" si="6"/>
        <v>#REF!</v>
      </c>
      <c r="P39" s="552"/>
      <c r="Q39" s="537">
        <v>1</v>
      </c>
      <c r="R39" s="538" t="e">
        <f t="shared" ca="1" si="16"/>
        <v>#REF!</v>
      </c>
      <c r="S39" s="553" t="e">
        <f t="shared" ca="1" si="7"/>
        <v>#REF!</v>
      </c>
      <c r="T39" s="500">
        <v>1</v>
      </c>
      <c r="U39" s="571" t="s">
        <v>258</v>
      </c>
      <c r="V39" s="554" t="str">
        <f t="shared" si="20"/>
        <v>entry in questionnaire</v>
      </c>
      <c r="W39" s="554" t="s">
        <v>1490</v>
      </c>
      <c r="X39" s="433">
        <v>1</v>
      </c>
      <c r="Y39" s="433">
        <v>1</v>
      </c>
      <c r="Z39" s="433">
        <v>1</v>
      </c>
      <c r="AA39" s="433">
        <v>1</v>
      </c>
      <c r="AB39" s="433">
        <v>1</v>
      </c>
      <c r="AC39" s="498" t="e">
        <f t="shared" ca="1" si="8"/>
        <v>#REF!</v>
      </c>
      <c r="AD39" s="542" t="e">
        <f t="shared" ca="1" si="34"/>
        <v>#REF!</v>
      </c>
      <c r="AE39" s="543" t="e">
        <f t="shared" ca="1" si="35"/>
        <v>#REF!</v>
      </c>
      <c r="AF39" s="544" t="e">
        <f t="shared" ca="1" si="36"/>
        <v>#REF!</v>
      </c>
      <c r="AG39" s="545" t="e">
        <f t="shared" ca="1" si="37"/>
        <v>#REF!</v>
      </c>
      <c r="AH39" s="546" t="e">
        <f t="shared" ca="1" si="38"/>
        <v>#REF!</v>
      </c>
      <c r="AI39" s="546" t="e">
        <f t="shared" ca="1" si="39"/>
        <v>#REF!</v>
      </c>
      <c r="AJ39" s="546" t="e">
        <f t="shared" ca="1" si="40"/>
        <v>#REF!</v>
      </c>
      <c r="AK39" s="546" t="e">
        <f t="shared" ca="1" si="41"/>
        <v>#REF!</v>
      </c>
      <c r="AL39" s="546" t="e">
        <f t="shared" ca="1" si="42"/>
        <v>#REF!</v>
      </c>
      <c r="AM39" t="s">
        <v>1020</v>
      </c>
    </row>
    <row r="40" spans="1:39" ht="12.75">
      <c r="A40" s="565" t="s">
        <v>1448</v>
      </c>
      <c r="B40" s="529"/>
      <c r="C40" s="450"/>
      <c r="D40" s="547">
        <v>5</v>
      </c>
      <c r="E40" s="548" t="s">
        <v>340</v>
      </c>
      <c r="F40" s="444" t="e">
        <f t="shared" ca="1" si="28"/>
        <v>#REF!</v>
      </c>
      <c r="G40" s="549" t="e">
        <f t="shared" ca="1" si="29"/>
        <v>#REF!</v>
      </c>
      <c r="H40" s="550" t="str">
        <f t="shared" ca="1" si="30"/>
        <v>-</v>
      </c>
      <c r="I40" s="550" t="str">
        <f t="shared" ca="1" si="31"/>
        <v>-</v>
      </c>
      <c r="J40" s="551" t="e">
        <f t="shared" ca="1" si="32"/>
        <v>#REF!</v>
      </c>
      <c r="K40" s="549" t="e">
        <f t="shared" ca="1" si="33"/>
        <v>#REF!</v>
      </c>
      <c r="L40" s="552"/>
      <c r="M40" s="537">
        <v>1</v>
      </c>
      <c r="N40" s="538" t="e">
        <f t="shared" ca="1" si="15"/>
        <v>#REF!</v>
      </c>
      <c r="O40" s="539" t="e">
        <f t="shared" ca="1" si="6"/>
        <v>#REF!</v>
      </c>
      <c r="P40" s="552"/>
      <c r="Q40" s="537">
        <v>1</v>
      </c>
      <c r="R40" s="538" t="e">
        <f t="shared" ca="1" si="16"/>
        <v>#REF!</v>
      </c>
      <c r="S40" s="553" t="e">
        <f t="shared" ca="1" si="7"/>
        <v>#REF!</v>
      </c>
      <c r="T40" s="500">
        <v>1</v>
      </c>
      <c r="U40" s="570" t="s">
        <v>259</v>
      </c>
      <c r="V40" s="554" t="str">
        <f t="shared" si="20"/>
        <v>entry in questionnaire</v>
      </c>
      <c r="W40" s="554" t="s">
        <v>1490</v>
      </c>
      <c r="X40" s="433">
        <v>1</v>
      </c>
      <c r="Y40" s="433">
        <v>1</v>
      </c>
      <c r="Z40" s="433">
        <v>1</v>
      </c>
      <c r="AA40" s="433">
        <v>1</v>
      </c>
      <c r="AB40" s="433">
        <v>1</v>
      </c>
      <c r="AC40" s="498" t="e">
        <f t="shared" ca="1" si="8"/>
        <v>#REF!</v>
      </c>
      <c r="AD40" s="542" t="e">
        <f t="shared" ca="1" si="34"/>
        <v>#REF!</v>
      </c>
      <c r="AE40" s="543" t="e">
        <f t="shared" ca="1" si="35"/>
        <v>#REF!</v>
      </c>
      <c r="AF40" s="544" t="e">
        <f t="shared" ca="1" si="36"/>
        <v>#REF!</v>
      </c>
      <c r="AG40" s="545" t="e">
        <f t="shared" ca="1" si="37"/>
        <v>#REF!</v>
      </c>
      <c r="AH40" s="546" t="e">
        <f t="shared" ca="1" si="38"/>
        <v>#REF!</v>
      </c>
      <c r="AI40" s="546" t="e">
        <f t="shared" ca="1" si="39"/>
        <v>#REF!</v>
      </c>
      <c r="AJ40" s="546" t="e">
        <f t="shared" ca="1" si="40"/>
        <v>#REF!</v>
      </c>
      <c r="AK40" s="546" t="e">
        <f t="shared" ca="1" si="41"/>
        <v>#REF!</v>
      </c>
      <c r="AL40" s="546" t="e">
        <f t="shared" ca="1" si="42"/>
        <v>#REF!</v>
      </c>
      <c r="AM40" t="s">
        <v>1021</v>
      </c>
    </row>
    <row r="41" spans="1:39" ht="12.75">
      <c r="A41" s="564">
        <v>6340</v>
      </c>
      <c r="B41" s="529"/>
      <c r="C41" s="450"/>
      <c r="D41" s="547">
        <v>5</v>
      </c>
      <c r="E41" s="548" t="s">
        <v>340</v>
      </c>
      <c r="F41" s="444" t="e">
        <f t="shared" ca="1" si="28"/>
        <v>#REF!</v>
      </c>
      <c r="G41" s="549" t="e">
        <f t="shared" ca="1" si="29"/>
        <v>#REF!</v>
      </c>
      <c r="H41" s="550" t="str">
        <f t="shared" ca="1" si="30"/>
        <v>-</v>
      </c>
      <c r="I41" s="550" t="str">
        <f t="shared" ca="1" si="31"/>
        <v>-</v>
      </c>
      <c r="J41" s="551" t="e">
        <f t="shared" ca="1" si="32"/>
        <v>#REF!</v>
      </c>
      <c r="K41" s="549" t="e">
        <f t="shared" ca="1" si="33"/>
        <v>#REF!</v>
      </c>
      <c r="L41" s="552">
        <f>(SUMIF(Substrates!AY:AY,'X-Exchange'!U41,Substrates!BD:BD)+$L$108/$L$110)*T41</f>
        <v>0</v>
      </c>
      <c r="M41" s="537">
        <v>1</v>
      </c>
      <c r="N41" s="538" t="e">
        <f t="shared" ca="1" si="15"/>
        <v>#REF!</v>
      </c>
      <c r="O41" s="539" t="e">
        <f t="shared" ca="1" si="6"/>
        <v>#REF!</v>
      </c>
      <c r="P41" s="552"/>
      <c r="Q41" s="537">
        <v>1</v>
      </c>
      <c r="R41" s="538" t="e">
        <f t="shared" ca="1" si="16"/>
        <v>#REF!</v>
      </c>
      <c r="S41" s="553" t="e">
        <f t="shared" ca="1" si="7"/>
        <v>#REF!</v>
      </c>
      <c r="T41" s="500">
        <v>0.35</v>
      </c>
      <c r="U41" s="570" t="s">
        <v>260</v>
      </c>
      <c r="V41" s="554" t="str">
        <f t="shared" si="20"/>
        <v>entry in questionnaire</v>
      </c>
      <c r="W41" s="554" t="s">
        <v>1490</v>
      </c>
      <c r="X41" s="433">
        <v>1</v>
      </c>
      <c r="Y41" s="433">
        <v>1</v>
      </c>
      <c r="Z41" s="433">
        <v>1</v>
      </c>
      <c r="AA41" s="433">
        <v>1</v>
      </c>
      <c r="AB41" s="433">
        <v>1</v>
      </c>
      <c r="AC41" s="498" t="e">
        <f t="shared" ca="1" si="8"/>
        <v>#REF!</v>
      </c>
      <c r="AD41" s="542" t="e">
        <f t="shared" ca="1" si="34"/>
        <v>#REF!</v>
      </c>
      <c r="AE41" s="543" t="e">
        <f t="shared" ca="1" si="35"/>
        <v>#REF!</v>
      </c>
      <c r="AF41" s="544" t="e">
        <f t="shared" ca="1" si="36"/>
        <v>#REF!</v>
      </c>
      <c r="AG41" s="545" t="e">
        <f t="shared" ca="1" si="37"/>
        <v>#REF!</v>
      </c>
      <c r="AH41" s="546" t="e">
        <f t="shared" ca="1" si="38"/>
        <v>#REF!</v>
      </c>
      <c r="AI41" s="546" t="e">
        <f t="shared" ca="1" si="39"/>
        <v>#REF!</v>
      </c>
      <c r="AJ41" s="546" t="e">
        <f t="shared" ca="1" si="40"/>
        <v>#REF!</v>
      </c>
      <c r="AK41" s="546" t="e">
        <f t="shared" ca="1" si="41"/>
        <v>#REF!</v>
      </c>
      <c r="AL41" s="546" t="e">
        <f t="shared" ca="1" si="42"/>
        <v>#REF!</v>
      </c>
      <c r="AM41" t="s">
        <v>1022</v>
      </c>
    </row>
    <row r="42" spans="1:39" ht="12.75">
      <c r="A42" s="564">
        <v>6339</v>
      </c>
      <c r="B42" s="529"/>
      <c r="C42" s="450"/>
      <c r="D42" s="547">
        <v>5</v>
      </c>
      <c r="E42" s="548" t="s">
        <v>340</v>
      </c>
      <c r="F42" s="444" t="e">
        <f t="shared" ca="1" si="28"/>
        <v>#REF!</v>
      </c>
      <c r="G42" s="549" t="e">
        <f t="shared" ca="1" si="29"/>
        <v>#REF!</v>
      </c>
      <c r="H42" s="550" t="str">
        <f t="shared" ca="1" si="30"/>
        <v>-</v>
      </c>
      <c r="I42" s="550" t="str">
        <f t="shared" ca="1" si="31"/>
        <v>-</v>
      </c>
      <c r="J42" s="551" t="e">
        <f t="shared" ca="1" si="32"/>
        <v>#REF!</v>
      </c>
      <c r="K42" s="549" t="e">
        <f t="shared" ca="1" si="33"/>
        <v>#REF!</v>
      </c>
      <c r="L42" s="552">
        <f>(SUMIF(Substrates!AY:AY,'X-Exchange'!U42,Substrates!BD:BD)+$L$108/$L$110)*T42</f>
        <v>0</v>
      </c>
      <c r="M42" s="537">
        <v>1</v>
      </c>
      <c r="N42" s="538" t="e">
        <f t="shared" ca="1" si="15"/>
        <v>#REF!</v>
      </c>
      <c r="O42" s="539" t="e">
        <f t="shared" ca="1" si="6"/>
        <v>#REF!</v>
      </c>
      <c r="P42" s="552"/>
      <c r="Q42" s="537">
        <v>1</v>
      </c>
      <c r="R42" s="538" t="e">
        <f t="shared" ca="1" si="16"/>
        <v>#REF!</v>
      </c>
      <c r="S42" s="553" t="e">
        <f t="shared" ca="1" si="7"/>
        <v>#REF!</v>
      </c>
      <c r="T42" s="500">
        <v>0.35</v>
      </c>
      <c r="U42" s="570" t="s">
        <v>932</v>
      </c>
      <c r="V42" s="554" t="str">
        <f t="shared" si="20"/>
        <v>entry in questionnaire</v>
      </c>
      <c r="W42" s="554" t="s">
        <v>1490</v>
      </c>
      <c r="X42" s="433">
        <v>1</v>
      </c>
      <c r="Y42" s="433">
        <v>1</v>
      </c>
      <c r="Z42" s="433">
        <v>1</v>
      </c>
      <c r="AA42" s="433">
        <v>1</v>
      </c>
      <c r="AB42" s="433">
        <v>1</v>
      </c>
      <c r="AC42" s="498" t="e">
        <f t="shared" ca="1" si="8"/>
        <v>#REF!</v>
      </c>
      <c r="AD42" s="542" t="e">
        <f t="shared" ca="1" si="34"/>
        <v>#REF!</v>
      </c>
      <c r="AE42" s="543" t="e">
        <f t="shared" ca="1" si="35"/>
        <v>#REF!</v>
      </c>
      <c r="AF42" s="544" t="e">
        <f t="shared" ca="1" si="36"/>
        <v>#REF!</v>
      </c>
      <c r="AG42" s="545" t="e">
        <f t="shared" ca="1" si="37"/>
        <v>#REF!</v>
      </c>
      <c r="AH42" s="546" t="e">
        <f t="shared" ca="1" si="38"/>
        <v>#REF!</v>
      </c>
      <c r="AI42" s="546" t="e">
        <f t="shared" ca="1" si="39"/>
        <v>#REF!</v>
      </c>
      <c r="AJ42" s="546" t="e">
        <f t="shared" ca="1" si="40"/>
        <v>#REF!</v>
      </c>
      <c r="AK42" s="546" t="e">
        <f t="shared" ca="1" si="41"/>
        <v>#REF!</v>
      </c>
      <c r="AL42" s="546" t="e">
        <f t="shared" ca="1" si="42"/>
        <v>#REF!</v>
      </c>
      <c r="AM42" t="s">
        <v>1023</v>
      </c>
    </row>
    <row r="43" spans="1:39" ht="12.75">
      <c r="A43" s="560">
        <v>1921</v>
      </c>
      <c r="B43" s="529"/>
      <c r="C43" s="450"/>
      <c r="D43" s="547">
        <v>5</v>
      </c>
      <c r="E43" s="548" t="s">
        <v>340</v>
      </c>
      <c r="F43" s="444" t="e">
        <f t="shared" ca="1" si="28"/>
        <v>#REF!</v>
      </c>
      <c r="G43" s="549" t="e">
        <f t="shared" ca="1" si="29"/>
        <v>#REF!</v>
      </c>
      <c r="H43" s="550" t="str">
        <f t="shared" ca="1" si="30"/>
        <v>-</v>
      </c>
      <c r="I43" s="550" t="str">
        <f t="shared" ca="1" si="31"/>
        <v>-</v>
      </c>
      <c r="J43" s="551" t="e">
        <f t="shared" ca="1" si="32"/>
        <v>#REF!</v>
      </c>
      <c r="K43" s="549" t="e">
        <f t="shared" ca="1" si="33"/>
        <v>#REF!</v>
      </c>
      <c r="L43" s="552">
        <f>(SUMIF(Substrates!AY:AY,'X-Exchange'!U43,Substrates!BD:BD)+$L$108/$L$110)*T43</f>
        <v>0</v>
      </c>
      <c r="M43" s="537">
        <v>1</v>
      </c>
      <c r="N43" s="538" t="e">
        <f t="shared" ca="1" si="15"/>
        <v>#REF!</v>
      </c>
      <c r="O43" s="539" t="e">
        <f t="shared" ca="1" si="6"/>
        <v>#REF!</v>
      </c>
      <c r="P43" s="552"/>
      <c r="Q43" s="537">
        <v>1</v>
      </c>
      <c r="R43" s="538" t="e">
        <f t="shared" ca="1" si="16"/>
        <v>#REF!</v>
      </c>
      <c r="S43" s="553" t="e">
        <f t="shared" ca="1" si="7"/>
        <v>#REF!</v>
      </c>
      <c r="T43" s="500">
        <v>1</v>
      </c>
      <c r="U43" s="570" t="s">
        <v>261</v>
      </c>
      <c r="V43" s="554" t="str">
        <f t="shared" si="20"/>
        <v>entry in questionnaire</v>
      </c>
      <c r="W43" s="554" t="s">
        <v>1490</v>
      </c>
      <c r="X43" s="433">
        <v>1</v>
      </c>
      <c r="Y43" s="433">
        <v>1</v>
      </c>
      <c r="Z43" s="433">
        <v>1</v>
      </c>
      <c r="AA43" s="433">
        <v>1</v>
      </c>
      <c r="AB43" s="433">
        <v>1</v>
      </c>
      <c r="AC43" s="498" t="e">
        <f t="shared" ca="1" si="8"/>
        <v>#REF!</v>
      </c>
      <c r="AD43" s="542" t="e">
        <f t="shared" ca="1" si="34"/>
        <v>#REF!</v>
      </c>
      <c r="AE43" s="543" t="e">
        <f t="shared" ca="1" si="35"/>
        <v>#REF!</v>
      </c>
      <c r="AF43" s="544" t="e">
        <f t="shared" ca="1" si="36"/>
        <v>#REF!</v>
      </c>
      <c r="AG43" s="545" t="e">
        <f t="shared" ca="1" si="37"/>
        <v>#REF!</v>
      </c>
      <c r="AH43" s="546" t="e">
        <f t="shared" ca="1" si="38"/>
        <v>#REF!</v>
      </c>
      <c r="AI43" s="546" t="e">
        <f t="shared" ca="1" si="39"/>
        <v>#REF!</v>
      </c>
      <c r="AJ43" s="546" t="e">
        <f t="shared" ca="1" si="40"/>
        <v>#REF!</v>
      </c>
      <c r="AK43" s="546" t="e">
        <f t="shared" ca="1" si="41"/>
        <v>#REF!</v>
      </c>
      <c r="AL43" s="546" t="e">
        <f t="shared" ca="1" si="42"/>
        <v>#REF!</v>
      </c>
      <c r="AM43" t="s">
        <v>1024</v>
      </c>
    </row>
    <row r="44" spans="1:39" ht="12.75">
      <c r="A44" s="560">
        <v>1963</v>
      </c>
      <c r="B44" s="529"/>
      <c r="C44" s="450"/>
      <c r="D44" s="547">
        <v>5</v>
      </c>
      <c r="E44" s="548" t="s">
        <v>340</v>
      </c>
      <c r="F44" s="444" t="e">
        <f t="shared" ca="1" si="28"/>
        <v>#REF!</v>
      </c>
      <c r="G44" s="549" t="e">
        <f t="shared" ca="1" si="29"/>
        <v>#REF!</v>
      </c>
      <c r="H44" s="550" t="str">
        <f t="shared" ca="1" si="30"/>
        <v>-</v>
      </c>
      <c r="I44" s="550" t="str">
        <f t="shared" ca="1" si="31"/>
        <v>-</v>
      </c>
      <c r="J44" s="551" t="e">
        <f t="shared" ca="1" si="32"/>
        <v>#REF!</v>
      </c>
      <c r="K44" s="549" t="e">
        <f t="shared" ca="1" si="33"/>
        <v>#REF!</v>
      </c>
      <c r="L44" s="552">
        <f>(SUMIF(Substrates!AY:AY,'X-Exchange'!U44,Substrates!BD:BD)+$L$108/$L$110)*T44</f>
        <v>0</v>
      </c>
      <c r="M44" s="537">
        <v>1</v>
      </c>
      <c r="N44" s="538" t="e">
        <f t="shared" ca="1" si="15"/>
        <v>#REF!</v>
      </c>
      <c r="O44" s="539" t="e">
        <f t="shared" ca="1" si="6"/>
        <v>#REF!</v>
      </c>
      <c r="P44" s="552"/>
      <c r="Q44" s="537">
        <v>1</v>
      </c>
      <c r="R44" s="538" t="e">
        <f t="shared" ca="1" si="16"/>
        <v>#REF!</v>
      </c>
      <c r="S44" s="553" t="e">
        <f t="shared" ca="1" si="7"/>
        <v>#REF!</v>
      </c>
      <c r="T44" s="500">
        <v>1</v>
      </c>
      <c r="U44" s="570" t="s">
        <v>262</v>
      </c>
      <c r="V44" s="554" t="str">
        <f t="shared" si="20"/>
        <v>entry in questionnaire</v>
      </c>
      <c r="W44" s="554" t="s">
        <v>1490</v>
      </c>
      <c r="X44" s="433">
        <v>1</v>
      </c>
      <c r="Y44" s="433">
        <v>1</v>
      </c>
      <c r="Z44" s="433">
        <v>1</v>
      </c>
      <c r="AA44" s="433">
        <v>1</v>
      </c>
      <c r="AB44" s="433">
        <v>1</v>
      </c>
      <c r="AC44" s="498" t="e">
        <f t="shared" ca="1" si="8"/>
        <v>#REF!</v>
      </c>
      <c r="AD44" s="542" t="e">
        <f t="shared" ca="1" si="34"/>
        <v>#REF!</v>
      </c>
      <c r="AE44" s="543" t="e">
        <f t="shared" ca="1" si="35"/>
        <v>#REF!</v>
      </c>
      <c r="AF44" s="544" t="e">
        <f t="shared" ca="1" si="36"/>
        <v>#REF!</v>
      </c>
      <c r="AG44" s="545" t="e">
        <f t="shared" ca="1" si="37"/>
        <v>#REF!</v>
      </c>
      <c r="AH44" s="546" t="e">
        <f t="shared" ca="1" si="38"/>
        <v>#REF!</v>
      </c>
      <c r="AI44" s="546" t="e">
        <f t="shared" ca="1" si="39"/>
        <v>#REF!</v>
      </c>
      <c r="AJ44" s="546" t="e">
        <f t="shared" ca="1" si="40"/>
        <v>#REF!</v>
      </c>
      <c r="AK44" s="546" t="e">
        <f t="shared" ca="1" si="41"/>
        <v>#REF!</v>
      </c>
      <c r="AL44" s="546" t="e">
        <f t="shared" ca="1" si="42"/>
        <v>#REF!</v>
      </c>
      <c r="AM44" t="s">
        <v>1025</v>
      </c>
    </row>
    <row r="45" spans="1:39" ht="12.75">
      <c r="A45" s="560">
        <v>4603</v>
      </c>
      <c r="B45" s="529"/>
      <c r="C45" s="450"/>
      <c r="D45" s="547">
        <v>5</v>
      </c>
      <c r="E45" s="548" t="s">
        <v>340</v>
      </c>
      <c r="F45" s="444" t="e">
        <f t="shared" ca="1" si="28"/>
        <v>#REF!</v>
      </c>
      <c r="G45" s="549" t="e">
        <f t="shared" ca="1" si="29"/>
        <v>#REF!</v>
      </c>
      <c r="H45" s="550" t="str">
        <f t="shared" ca="1" si="30"/>
        <v>-</v>
      </c>
      <c r="I45" s="550" t="str">
        <f t="shared" ca="1" si="31"/>
        <v>-</v>
      </c>
      <c r="J45" s="551" t="e">
        <f t="shared" ca="1" si="32"/>
        <v>#REF!</v>
      </c>
      <c r="K45" s="549" t="e">
        <f t="shared" ca="1" si="33"/>
        <v>#REF!</v>
      </c>
      <c r="L45" s="552">
        <f>(SUMIF(Substrates!AY:AY,'X-Exchange'!U45,Substrates!BD:BD)+$L$108/$L$110)*T45</f>
        <v>0</v>
      </c>
      <c r="M45" s="537">
        <v>1</v>
      </c>
      <c r="N45" s="538" t="e">
        <f t="shared" ca="1" si="15"/>
        <v>#REF!</v>
      </c>
      <c r="O45" s="539" t="e">
        <f t="shared" ca="1" si="6"/>
        <v>#REF!</v>
      </c>
      <c r="P45" s="552"/>
      <c r="Q45" s="537">
        <v>1</v>
      </c>
      <c r="R45" s="538" t="e">
        <f t="shared" ca="1" si="16"/>
        <v>#REF!</v>
      </c>
      <c r="S45" s="553" t="e">
        <f t="shared" ca="1" si="7"/>
        <v>#REF!</v>
      </c>
      <c r="T45" s="500">
        <v>1</v>
      </c>
      <c r="U45" s="570" t="s">
        <v>263</v>
      </c>
      <c r="V45" s="554" t="str">
        <f t="shared" si="20"/>
        <v>entry in questionnaire</v>
      </c>
      <c r="W45" s="554" t="s">
        <v>1490</v>
      </c>
      <c r="X45" s="433">
        <v>1</v>
      </c>
      <c r="Y45" s="433">
        <v>1</v>
      </c>
      <c r="Z45" s="433">
        <v>1</v>
      </c>
      <c r="AA45" s="433">
        <v>1</v>
      </c>
      <c r="AB45" s="433">
        <v>1</v>
      </c>
      <c r="AC45" s="498" t="e">
        <f t="shared" ca="1" si="8"/>
        <v>#REF!</v>
      </c>
      <c r="AD45" s="542" t="e">
        <f t="shared" ca="1" si="34"/>
        <v>#REF!</v>
      </c>
      <c r="AE45" s="543" t="e">
        <f t="shared" ca="1" si="35"/>
        <v>#REF!</v>
      </c>
      <c r="AF45" s="544" t="e">
        <f t="shared" ca="1" si="36"/>
        <v>#REF!</v>
      </c>
      <c r="AG45" s="545" t="e">
        <f t="shared" ca="1" si="37"/>
        <v>#REF!</v>
      </c>
      <c r="AH45" s="546" t="e">
        <f t="shared" ca="1" si="38"/>
        <v>#REF!</v>
      </c>
      <c r="AI45" s="546" t="e">
        <f t="shared" ca="1" si="39"/>
        <v>#REF!</v>
      </c>
      <c r="AJ45" s="546" t="e">
        <f t="shared" ca="1" si="40"/>
        <v>#REF!</v>
      </c>
      <c r="AK45" s="546" t="e">
        <f t="shared" ca="1" si="41"/>
        <v>#REF!</v>
      </c>
      <c r="AL45" s="546" t="e">
        <f t="shared" ca="1" si="42"/>
        <v>#REF!</v>
      </c>
      <c r="AM45" t="s">
        <v>1026</v>
      </c>
    </row>
    <row r="46" spans="1:39" ht="12.75">
      <c r="A46" s="560">
        <v>1978</v>
      </c>
      <c r="B46" s="529"/>
      <c r="C46" s="450"/>
      <c r="D46" s="547">
        <v>5</v>
      </c>
      <c r="E46" s="548" t="s">
        <v>340</v>
      </c>
      <c r="F46" s="444" t="e">
        <f t="shared" ca="1" si="28"/>
        <v>#REF!</v>
      </c>
      <c r="G46" s="549" t="e">
        <f t="shared" ca="1" si="29"/>
        <v>#REF!</v>
      </c>
      <c r="H46" s="550" t="str">
        <f t="shared" ca="1" si="30"/>
        <v>-</v>
      </c>
      <c r="I46" s="550" t="str">
        <f t="shared" ca="1" si="31"/>
        <v>-</v>
      </c>
      <c r="J46" s="551" t="e">
        <f t="shared" ca="1" si="32"/>
        <v>#REF!</v>
      </c>
      <c r="K46" s="549" t="e">
        <f t="shared" ca="1" si="33"/>
        <v>#REF!</v>
      </c>
      <c r="L46" s="552">
        <f>(SUMIF(Substrates!AY:AY,'X-Exchange'!U46,Substrates!BD:BD)+$L$108/$L$110)*T46</f>
        <v>0</v>
      </c>
      <c r="M46" s="537">
        <v>1</v>
      </c>
      <c r="N46" s="538" t="e">
        <f t="shared" ca="1" si="15"/>
        <v>#REF!</v>
      </c>
      <c r="O46" s="539" t="e">
        <f t="shared" ca="1" si="6"/>
        <v>#REF!</v>
      </c>
      <c r="P46" s="552"/>
      <c r="Q46" s="537">
        <v>1</v>
      </c>
      <c r="R46" s="538" t="e">
        <f t="shared" ca="1" si="16"/>
        <v>#REF!</v>
      </c>
      <c r="S46" s="553" t="e">
        <f t="shared" ca="1" si="7"/>
        <v>#REF!</v>
      </c>
      <c r="T46" s="500">
        <v>1</v>
      </c>
      <c r="U46" s="570" t="s">
        <v>264</v>
      </c>
      <c r="V46" s="554" t="str">
        <f t="shared" si="20"/>
        <v>entry in questionnaire</v>
      </c>
      <c r="W46" s="554" t="s">
        <v>1490</v>
      </c>
      <c r="X46" s="433">
        <v>1</v>
      </c>
      <c r="Y46" s="433">
        <v>1</v>
      </c>
      <c r="Z46" s="433">
        <v>1</v>
      </c>
      <c r="AA46" s="433">
        <v>1</v>
      </c>
      <c r="AB46" s="433">
        <v>1</v>
      </c>
      <c r="AC46" s="498" t="e">
        <f t="shared" ca="1" si="8"/>
        <v>#REF!</v>
      </c>
      <c r="AD46" s="542" t="e">
        <f t="shared" ca="1" si="34"/>
        <v>#REF!</v>
      </c>
      <c r="AE46" s="543" t="e">
        <f t="shared" ca="1" si="35"/>
        <v>#REF!</v>
      </c>
      <c r="AF46" s="544" t="e">
        <f t="shared" ca="1" si="36"/>
        <v>#REF!</v>
      </c>
      <c r="AG46" s="545" t="e">
        <f t="shared" ca="1" si="37"/>
        <v>#REF!</v>
      </c>
      <c r="AH46" s="546" t="e">
        <f t="shared" ca="1" si="38"/>
        <v>#REF!</v>
      </c>
      <c r="AI46" s="546" t="e">
        <f t="shared" ca="1" si="39"/>
        <v>#REF!</v>
      </c>
      <c r="AJ46" s="546" t="e">
        <f t="shared" ca="1" si="40"/>
        <v>#REF!</v>
      </c>
      <c r="AK46" s="546" t="e">
        <f t="shared" ca="1" si="41"/>
        <v>#REF!</v>
      </c>
      <c r="AL46" s="546" t="e">
        <f t="shared" ca="1" si="42"/>
        <v>#REF!</v>
      </c>
      <c r="AM46" t="s">
        <v>1027</v>
      </c>
    </row>
    <row r="47" spans="1:39" ht="12.75">
      <c r="A47" s="560">
        <v>2004</v>
      </c>
      <c r="B47" s="529"/>
      <c r="C47" s="450"/>
      <c r="D47" s="547">
        <v>5</v>
      </c>
      <c r="E47" s="548" t="s">
        <v>340</v>
      </c>
      <c r="F47" s="444" t="e">
        <f t="shared" ca="1" si="28"/>
        <v>#REF!</v>
      </c>
      <c r="G47" s="549" t="e">
        <f t="shared" ca="1" si="29"/>
        <v>#REF!</v>
      </c>
      <c r="H47" s="550" t="str">
        <f t="shared" ca="1" si="30"/>
        <v>-</v>
      </c>
      <c r="I47" s="550" t="str">
        <f t="shared" ca="1" si="31"/>
        <v>-</v>
      </c>
      <c r="J47" s="551" t="e">
        <f t="shared" ca="1" si="32"/>
        <v>#REF!</v>
      </c>
      <c r="K47" s="549" t="e">
        <f t="shared" ca="1" si="33"/>
        <v>#REF!</v>
      </c>
      <c r="L47" s="552">
        <f>(SUMIF(Substrates!AY:AY,'X-Exchange'!U47,Substrates!BD:BD)+$L$108/$L$110)*T47</f>
        <v>0</v>
      </c>
      <c r="M47" s="537">
        <v>1</v>
      </c>
      <c r="N47" s="538" t="e">
        <f t="shared" ca="1" si="15"/>
        <v>#REF!</v>
      </c>
      <c r="O47" s="539" t="e">
        <f t="shared" ca="1" si="6"/>
        <v>#REF!</v>
      </c>
      <c r="P47" s="552"/>
      <c r="Q47" s="537">
        <v>1</v>
      </c>
      <c r="R47" s="538" t="e">
        <f t="shared" ca="1" si="16"/>
        <v>#REF!</v>
      </c>
      <c r="S47" s="553" t="e">
        <f t="shared" ca="1" si="7"/>
        <v>#REF!</v>
      </c>
      <c r="T47" s="500">
        <v>1</v>
      </c>
      <c r="U47" s="570" t="s">
        <v>933</v>
      </c>
      <c r="V47" s="554" t="str">
        <f t="shared" si="20"/>
        <v>entry in questionnaire</v>
      </c>
      <c r="W47" s="554" t="s">
        <v>1490</v>
      </c>
      <c r="X47" s="433">
        <v>1</v>
      </c>
      <c r="Y47" s="433">
        <v>1</v>
      </c>
      <c r="Z47" s="433">
        <v>1</v>
      </c>
      <c r="AA47" s="433">
        <v>1</v>
      </c>
      <c r="AB47" s="433">
        <v>1</v>
      </c>
      <c r="AC47" s="498" t="e">
        <f t="shared" ca="1" si="8"/>
        <v>#REF!</v>
      </c>
      <c r="AD47" s="542" t="e">
        <f t="shared" ca="1" si="34"/>
        <v>#REF!</v>
      </c>
      <c r="AE47" s="543" t="e">
        <f t="shared" ca="1" si="35"/>
        <v>#REF!</v>
      </c>
      <c r="AF47" s="544" t="e">
        <f t="shared" ca="1" si="36"/>
        <v>#REF!</v>
      </c>
      <c r="AG47" s="545" t="e">
        <f t="shared" ca="1" si="37"/>
        <v>#REF!</v>
      </c>
      <c r="AH47" s="546" t="e">
        <f t="shared" ca="1" si="38"/>
        <v>#REF!</v>
      </c>
      <c r="AI47" s="546" t="e">
        <f t="shared" ca="1" si="39"/>
        <v>#REF!</v>
      </c>
      <c r="AJ47" s="546" t="e">
        <f t="shared" ca="1" si="40"/>
        <v>#REF!</v>
      </c>
      <c r="AK47" s="546" t="e">
        <f t="shared" ca="1" si="41"/>
        <v>#REF!</v>
      </c>
      <c r="AL47" s="546" t="e">
        <f t="shared" ca="1" si="42"/>
        <v>#REF!</v>
      </c>
      <c r="AM47" t="s">
        <v>1028</v>
      </c>
    </row>
    <row r="48" spans="1:39" ht="12.75">
      <c r="A48" s="560">
        <v>6322</v>
      </c>
      <c r="B48" s="529"/>
      <c r="C48" s="450"/>
      <c r="D48" s="547">
        <v>5</v>
      </c>
      <c r="E48" s="548" t="s">
        <v>340</v>
      </c>
      <c r="F48" s="444" t="e">
        <f t="shared" ca="1" si="28"/>
        <v>#REF!</v>
      </c>
      <c r="G48" s="549" t="e">
        <f t="shared" ca="1" si="29"/>
        <v>#REF!</v>
      </c>
      <c r="H48" s="550" t="str">
        <f t="shared" ca="1" si="30"/>
        <v>-</v>
      </c>
      <c r="I48" s="550" t="str">
        <f t="shared" ca="1" si="31"/>
        <v>-</v>
      </c>
      <c r="J48" s="551" t="e">
        <f t="shared" ca="1" si="32"/>
        <v>#REF!</v>
      </c>
      <c r="K48" s="549" t="e">
        <f t="shared" ca="1" si="33"/>
        <v>#REF!</v>
      </c>
      <c r="L48" s="552">
        <f>(SUMIF(Substrates!AY:AY,'X-Exchange'!U48,Substrates!BD:BD)+$L$108/$L$110)*T48</f>
        <v>0</v>
      </c>
      <c r="M48" s="537">
        <v>1</v>
      </c>
      <c r="N48" s="538" t="e">
        <f t="shared" ca="1" si="15"/>
        <v>#REF!</v>
      </c>
      <c r="O48" s="539" t="e">
        <f t="shared" ca="1" si="6"/>
        <v>#REF!</v>
      </c>
      <c r="P48" s="552"/>
      <c r="Q48" s="537">
        <v>1</v>
      </c>
      <c r="R48" s="538" t="e">
        <f t="shared" ca="1" si="16"/>
        <v>#REF!</v>
      </c>
      <c r="S48" s="553" t="e">
        <f t="shared" ca="1" si="7"/>
        <v>#REF!</v>
      </c>
      <c r="T48" s="500">
        <v>1</v>
      </c>
      <c r="U48" s="570" t="s">
        <v>265</v>
      </c>
      <c r="V48" s="554" t="str">
        <f t="shared" si="20"/>
        <v>entry in questionnaire</v>
      </c>
      <c r="W48" s="554" t="s">
        <v>1490</v>
      </c>
      <c r="X48" s="433">
        <v>1</v>
      </c>
      <c r="Y48" s="433">
        <v>1</v>
      </c>
      <c r="Z48" s="433">
        <v>1</v>
      </c>
      <c r="AA48" s="433">
        <v>1</v>
      </c>
      <c r="AB48" s="433">
        <v>1</v>
      </c>
      <c r="AC48" s="498" t="e">
        <f t="shared" ca="1" si="8"/>
        <v>#REF!</v>
      </c>
      <c r="AD48" s="542" t="e">
        <f t="shared" ca="1" si="34"/>
        <v>#REF!</v>
      </c>
      <c r="AE48" s="543" t="e">
        <f t="shared" ca="1" si="35"/>
        <v>#REF!</v>
      </c>
      <c r="AF48" s="544" t="e">
        <f t="shared" ca="1" si="36"/>
        <v>#REF!</v>
      </c>
      <c r="AG48" s="545" t="e">
        <f t="shared" ca="1" si="37"/>
        <v>#REF!</v>
      </c>
      <c r="AH48" s="546" t="e">
        <f t="shared" ca="1" si="38"/>
        <v>#REF!</v>
      </c>
      <c r="AI48" s="546" t="e">
        <f t="shared" ca="1" si="39"/>
        <v>#REF!</v>
      </c>
      <c r="AJ48" s="546" t="e">
        <f t="shared" ca="1" si="40"/>
        <v>#REF!</v>
      </c>
      <c r="AK48" s="546" t="e">
        <f t="shared" ca="1" si="41"/>
        <v>#REF!</v>
      </c>
      <c r="AL48" s="546" t="e">
        <f t="shared" ca="1" si="42"/>
        <v>#REF!</v>
      </c>
      <c r="AM48" t="s">
        <v>1029</v>
      </c>
    </row>
    <row r="49" spans="1:39" ht="12.75">
      <c r="A49" s="560">
        <v>6389</v>
      </c>
      <c r="B49" s="529"/>
      <c r="C49" s="450"/>
      <c r="D49" s="547">
        <v>5</v>
      </c>
      <c r="E49" s="548" t="s">
        <v>340</v>
      </c>
      <c r="F49" s="444" t="e">
        <f t="shared" ca="1" si="28"/>
        <v>#REF!</v>
      </c>
      <c r="G49" s="549" t="e">
        <f t="shared" ca="1" si="29"/>
        <v>#REF!</v>
      </c>
      <c r="H49" s="550" t="str">
        <f t="shared" ca="1" si="30"/>
        <v>-</v>
      </c>
      <c r="I49" s="550" t="str">
        <f t="shared" ca="1" si="31"/>
        <v>-</v>
      </c>
      <c r="J49" s="551" t="e">
        <f t="shared" ca="1" si="32"/>
        <v>#REF!</v>
      </c>
      <c r="K49" s="549" t="e">
        <f t="shared" ca="1" si="33"/>
        <v>#REF!</v>
      </c>
      <c r="L49" s="552">
        <f>(SUMIF(Substrates!AY:AY,'X-Exchange'!U49,Substrates!BD:BD)+$L$108/$L$110)*T49</f>
        <v>0</v>
      </c>
      <c r="M49" s="537">
        <v>1</v>
      </c>
      <c r="N49" s="538" t="e">
        <f t="shared" ca="1" si="15"/>
        <v>#REF!</v>
      </c>
      <c r="O49" s="539" t="e">
        <f t="shared" ca="1" si="6"/>
        <v>#REF!</v>
      </c>
      <c r="P49" s="552"/>
      <c r="Q49" s="537">
        <v>1</v>
      </c>
      <c r="R49" s="538" t="e">
        <f t="shared" ca="1" si="16"/>
        <v>#REF!</v>
      </c>
      <c r="S49" s="553" t="e">
        <f t="shared" ca="1" si="7"/>
        <v>#REF!</v>
      </c>
      <c r="T49" s="500">
        <v>1</v>
      </c>
      <c r="U49" s="570" t="s">
        <v>266</v>
      </c>
      <c r="V49" s="554" t="str">
        <f t="shared" si="20"/>
        <v>entry in questionnaire</v>
      </c>
      <c r="W49" s="554" t="s">
        <v>1490</v>
      </c>
      <c r="X49" s="433">
        <v>1</v>
      </c>
      <c r="Y49" s="433">
        <v>1</v>
      </c>
      <c r="Z49" s="433">
        <v>1</v>
      </c>
      <c r="AA49" s="433">
        <v>1</v>
      </c>
      <c r="AB49" s="433">
        <v>1</v>
      </c>
      <c r="AC49" s="498" t="e">
        <f t="shared" ca="1" si="8"/>
        <v>#REF!</v>
      </c>
      <c r="AD49" s="542" t="e">
        <f t="shared" ca="1" si="34"/>
        <v>#REF!</v>
      </c>
      <c r="AE49" s="543" t="e">
        <f t="shared" ca="1" si="35"/>
        <v>#REF!</v>
      </c>
      <c r="AF49" s="544" t="e">
        <f t="shared" ca="1" si="36"/>
        <v>#REF!</v>
      </c>
      <c r="AG49" s="545" t="e">
        <f t="shared" ca="1" si="37"/>
        <v>#REF!</v>
      </c>
      <c r="AH49" s="546" t="e">
        <f t="shared" ca="1" si="38"/>
        <v>#REF!</v>
      </c>
      <c r="AI49" s="546" t="e">
        <f t="shared" ca="1" si="39"/>
        <v>#REF!</v>
      </c>
      <c r="AJ49" s="546" t="e">
        <f t="shared" ca="1" si="40"/>
        <v>#REF!</v>
      </c>
      <c r="AK49" s="546" t="e">
        <f t="shared" ca="1" si="41"/>
        <v>#REF!</v>
      </c>
      <c r="AL49" s="546" t="e">
        <f t="shared" ca="1" si="42"/>
        <v>#REF!</v>
      </c>
      <c r="AM49" t="s">
        <v>1030</v>
      </c>
    </row>
    <row r="50" spans="1:39" ht="12.75">
      <c r="A50" s="560">
        <v>3677</v>
      </c>
      <c r="B50" s="529"/>
      <c r="C50" s="450"/>
      <c r="D50" s="547">
        <v>5</v>
      </c>
      <c r="E50" s="548" t="s">
        <v>340</v>
      </c>
      <c r="F50" s="444" t="e">
        <f t="shared" ca="1" si="28"/>
        <v>#REF!</v>
      </c>
      <c r="G50" s="549" t="e">
        <f t="shared" ca="1" si="29"/>
        <v>#REF!</v>
      </c>
      <c r="H50" s="550" t="str">
        <f t="shared" ca="1" si="30"/>
        <v>-</v>
      </c>
      <c r="I50" s="550" t="str">
        <f t="shared" ca="1" si="31"/>
        <v>-</v>
      </c>
      <c r="J50" s="551" t="e">
        <f t="shared" ca="1" si="32"/>
        <v>#REF!</v>
      </c>
      <c r="K50" s="549" t="e">
        <f t="shared" ca="1" si="33"/>
        <v>#REF!</v>
      </c>
      <c r="L50" s="552">
        <f>(SUMIF(Substrates!AY:AY,'X-Exchange'!U50,Substrates!BD:BD)+$L$108/$L$110)*T50</f>
        <v>0</v>
      </c>
      <c r="M50" s="537">
        <v>1</v>
      </c>
      <c r="N50" s="538" t="e">
        <f t="shared" ca="1" si="15"/>
        <v>#REF!</v>
      </c>
      <c r="O50" s="539" t="e">
        <f t="shared" ca="1" si="6"/>
        <v>#REF!</v>
      </c>
      <c r="P50" s="552"/>
      <c r="Q50" s="537">
        <v>1</v>
      </c>
      <c r="R50" s="538" t="e">
        <f t="shared" ca="1" si="16"/>
        <v>#REF!</v>
      </c>
      <c r="S50" s="553" t="e">
        <f t="shared" ca="1" si="7"/>
        <v>#REF!</v>
      </c>
      <c r="T50" s="500">
        <v>1</v>
      </c>
      <c r="U50" s="570" t="s">
        <v>267</v>
      </c>
      <c r="V50" s="554" t="str">
        <f t="shared" si="20"/>
        <v>entry in questionnaire</v>
      </c>
      <c r="W50" s="554" t="s">
        <v>1490</v>
      </c>
      <c r="X50" s="433">
        <v>1</v>
      </c>
      <c r="Y50" s="433">
        <v>1</v>
      </c>
      <c r="Z50" s="433">
        <v>1</v>
      </c>
      <c r="AA50" s="433">
        <v>1</v>
      </c>
      <c r="AB50" s="433">
        <v>1</v>
      </c>
      <c r="AC50" s="498" t="e">
        <f t="shared" ca="1" si="8"/>
        <v>#REF!</v>
      </c>
      <c r="AD50" s="542" t="e">
        <f t="shared" ca="1" si="34"/>
        <v>#REF!</v>
      </c>
      <c r="AE50" s="543" t="e">
        <f t="shared" ca="1" si="35"/>
        <v>#REF!</v>
      </c>
      <c r="AF50" s="544" t="e">
        <f t="shared" ca="1" si="36"/>
        <v>#REF!</v>
      </c>
      <c r="AG50" s="545" t="e">
        <f t="shared" ca="1" si="37"/>
        <v>#REF!</v>
      </c>
      <c r="AH50" s="546" t="e">
        <f t="shared" ca="1" si="38"/>
        <v>#REF!</v>
      </c>
      <c r="AI50" s="546" t="e">
        <f t="shared" ca="1" si="39"/>
        <v>#REF!</v>
      </c>
      <c r="AJ50" s="546" t="e">
        <f t="shared" ca="1" si="40"/>
        <v>#REF!</v>
      </c>
      <c r="AK50" s="546" t="e">
        <f t="shared" ca="1" si="41"/>
        <v>#REF!</v>
      </c>
      <c r="AL50" s="546" t="e">
        <f t="shared" ca="1" si="42"/>
        <v>#REF!</v>
      </c>
      <c r="AM50" t="s">
        <v>1031</v>
      </c>
    </row>
    <row r="51" spans="1:39" ht="12.75">
      <c r="A51" s="563" t="s">
        <v>1449</v>
      </c>
      <c r="B51" s="529"/>
      <c r="C51" s="450"/>
      <c r="D51" s="547">
        <v>5</v>
      </c>
      <c r="E51" s="548" t="s">
        <v>340</v>
      </c>
      <c r="F51" s="444" t="e">
        <f t="shared" ca="1" si="28"/>
        <v>#REF!</v>
      </c>
      <c r="G51" s="549" t="e">
        <f t="shared" ca="1" si="29"/>
        <v>#REF!</v>
      </c>
      <c r="H51" s="550" t="str">
        <f t="shared" ca="1" si="30"/>
        <v>-</v>
      </c>
      <c r="I51" s="550" t="str">
        <f t="shared" ca="1" si="31"/>
        <v>-</v>
      </c>
      <c r="J51" s="551" t="e">
        <f t="shared" ca="1" si="32"/>
        <v>#REF!</v>
      </c>
      <c r="K51" s="549" t="e">
        <f t="shared" ca="1" si="33"/>
        <v>#REF!</v>
      </c>
      <c r="L51" s="552">
        <f>(SUMIF(Substrates!AY:AY,'X-Exchange'!U51,Substrates!BD:BD)+$L$108/$L$110)*T51</f>
        <v>0</v>
      </c>
      <c r="M51" s="537">
        <v>1</v>
      </c>
      <c r="N51" s="538" t="e">
        <f t="shared" ca="1" si="15"/>
        <v>#REF!</v>
      </c>
      <c r="O51" s="539" t="e">
        <f t="shared" ca="1" si="6"/>
        <v>#REF!</v>
      </c>
      <c r="P51" s="552"/>
      <c r="Q51" s="537">
        <v>1</v>
      </c>
      <c r="R51" s="538" t="e">
        <f t="shared" ca="1" si="16"/>
        <v>#REF!</v>
      </c>
      <c r="S51" s="553" t="e">
        <f t="shared" ca="1" si="7"/>
        <v>#REF!</v>
      </c>
      <c r="T51" s="500">
        <v>1</v>
      </c>
      <c r="U51" s="570" t="s">
        <v>720</v>
      </c>
      <c r="V51" s="554" t="str">
        <f t="shared" si="20"/>
        <v>entry in questionnaire</v>
      </c>
      <c r="W51" s="554" t="s">
        <v>1490</v>
      </c>
      <c r="X51" s="433">
        <v>1</v>
      </c>
      <c r="Y51" s="433">
        <v>1</v>
      </c>
      <c r="Z51" s="433">
        <v>1</v>
      </c>
      <c r="AA51" s="433">
        <v>1</v>
      </c>
      <c r="AB51" s="433">
        <v>1</v>
      </c>
      <c r="AC51" s="498" t="e">
        <f t="shared" ca="1" si="8"/>
        <v>#REF!</v>
      </c>
      <c r="AD51" s="542" t="e">
        <f t="shared" ca="1" si="34"/>
        <v>#REF!</v>
      </c>
      <c r="AE51" s="543" t="e">
        <f t="shared" ca="1" si="35"/>
        <v>#REF!</v>
      </c>
      <c r="AF51" s="544" t="e">
        <f t="shared" ca="1" si="36"/>
        <v>#REF!</v>
      </c>
      <c r="AG51" s="545" t="e">
        <f t="shared" ca="1" si="37"/>
        <v>#REF!</v>
      </c>
      <c r="AH51" s="546" t="e">
        <f t="shared" ca="1" si="38"/>
        <v>#REF!</v>
      </c>
      <c r="AI51" s="546" t="e">
        <f t="shared" ca="1" si="39"/>
        <v>#REF!</v>
      </c>
      <c r="AJ51" s="546" t="e">
        <f t="shared" ca="1" si="40"/>
        <v>#REF!</v>
      </c>
      <c r="AK51" s="546" t="e">
        <f t="shared" ca="1" si="41"/>
        <v>#REF!</v>
      </c>
      <c r="AL51" s="546" t="e">
        <f t="shared" ca="1" si="42"/>
        <v>#REF!</v>
      </c>
      <c r="AM51" t="s">
        <v>719</v>
      </c>
    </row>
    <row r="52" spans="1:39" ht="12.75">
      <c r="A52" s="564">
        <v>6446</v>
      </c>
      <c r="B52" s="529"/>
      <c r="C52" s="450"/>
      <c r="D52" s="547">
        <v>5</v>
      </c>
      <c r="E52" s="548" t="s">
        <v>340</v>
      </c>
      <c r="F52" s="444" t="e">
        <f t="shared" ca="1" si="28"/>
        <v>#REF!</v>
      </c>
      <c r="G52" s="549" t="e">
        <f t="shared" ca="1" si="29"/>
        <v>#REF!</v>
      </c>
      <c r="H52" s="550" t="str">
        <f t="shared" ca="1" si="30"/>
        <v>-</v>
      </c>
      <c r="I52" s="550" t="str">
        <f t="shared" ca="1" si="31"/>
        <v>-</v>
      </c>
      <c r="J52" s="551" t="e">
        <f t="shared" ca="1" si="32"/>
        <v>#REF!</v>
      </c>
      <c r="K52" s="549" t="e">
        <f t="shared" ca="1" si="33"/>
        <v>#REF!</v>
      </c>
      <c r="L52" s="552">
        <f>(SUMIF(Substrates!AY:AY,'X-Exchange'!U52,Substrates!BD:BD)+$L$108/$L$110)*T52</f>
        <v>0</v>
      </c>
      <c r="M52" s="537">
        <v>1</v>
      </c>
      <c r="N52" s="538" t="e">
        <f t="shared" ca="1" si="15"/>
        <v>#REF!</v>
      </c>
      <c r="O52" s="539" t="e">
        <f t="shared" ca="1" si="6"/>
        <v>#REF!</v>
      </c>
      <c r="P52" s="552"/>
      <c r="Q52" s="537">
        <v>1</v>
      </c>
      <c r="R52" s="538" t="e">
        <f t="shared" ca="1" si="16"/>
        <v>#REF!</v>
      </c>
      <c r="S52" s="553" t="e">
        <f t="shared" ca="1" si="7"/>
        <v>#REF!</v>
      </c>
      <c r="T52" s="500">
        <v>0.125</v>
      </c>
      <c r="U52" s="570" t="s">
        <v>599</v>
      </c>
      <c r="V52" s="554" t="str">
        <f t="shared" si="20"/>
        <v>entry in questionnaire</v>
      </c>
      <c r="W52" s="554" t="s">
        <v>1490</v>
      </c>
      <c r="X52" s="433">
        <v>1</v>
      </c>
      <c r="Y52" s="433">
        <v>1</v>
      </c>
      <c r="Z52" s="433">
        <v>1</v>
      </c>
      <c r="AA52" s="433">
        <v>1</v>
      </c>
      <c r="AB52" s="433">
        <v>1</v>
      </c>
      <c r="AC52" s="498" t="e">
        <f t="shared" ca="1" si="8"/>
        <v>#REF!</v>
      </c>
      <c r="AD52" s="542" t="e">
        <f t="shared" ca="1" si="34"/>
        <v>#REF!</v>
      </c>
      <c r="AE52" s="543" t="e">
        <f t="shared" ca="1" si="35"/>
        <v>#REF!</v>
      </c>
      <c r="AF52" s="544" t="e">
        <f t="shared" ca="1" si="36"/>
        <v>#REF!</v>
      </c>
      <c r="AG52" s="545" t="e">
        <f t="shared" ca="1" si="37"/>
        <v>#REF!</v>
      </c>
      <c r="AH52" s="546" t="e">
        <f t="shared" ca="1" si="38"/>
        <v>#REF!</v>
      </c>
      <c r="AI52" s="546" t="e">
        <f t="shared" ca="1" si="39"/>
        <v>#REF!</v>
      </c>
      <c r="AJ52" s="546" t="e">
        <f t="shared" ca="1" si="40"/>
        <v>#REF!</v>
      </c>
      <c r="AK52" s="546" t="e">
        <f t="shared" ca="1" si="41"/>
        <v>#REF!</v>
      </c>
      <c r="AL52" s="546" t="e">
        <f t="shared" ca="1" si="42"/>
        <v>#REF!</v>
      </c>
      <c r="AM52" t="s">
        <v>1032</v>
      </c>
    </row>
    <row r="53" spans="1:39" ht="12.75">
      <c r="A53" s="564">
        <v>6449</v>
      </c>
      <c r="B53" s="529"/>
      <c r="C53" s="450"/>
      <c r="D53" s="547">
        <v>5</v>
      </c>
      <c r="E53" s="548" t="s">
        <v>340</v>
      </c>
      <c r="F53" s="444" t="e">
        <f t="shared" ca="1" si="28"/>
        <v>#REF!</v>
      </c>
      <c r="G53" s="549" t="e">
        <f t="shared" ca="1" si="29"/>
        <v>#REF!</v>
      </c>
      <c r="H53" s="550" t="str">
        <f t="shared" ca="1" si="30"/>
        <v>-</v>
      </c>
      <c r="I53" s="550" t="str">
        <f t="shared" ca="1" si="31"/>
        <v>-</v>
      </c>
      <c r="J53" s="551" t="e">
        <f t="shared" ca="1" si="32"/>
        <v>#REF!</v>
      </c>
      <c r="K53" s="549" t="e">
        <f t="shared" ca="1" si="33"/>
        <v>#REF!</v>
      </c>
      <c r="L53" s="552">
        <f>(SUMIF(Substrates!AY:AY,'X-Exchange'!U53,Substrates!BD:BD)+$L$108/$L$110)*T53</f>
        <v>0</v>
      </c>
      <c r="M53" s="537">
        <v>1</v>
      </c>
      <c r="N53" s="538" t="e">
        <f t="shared" ca="1" si="15"/>
        <v>#REF!</v>
      </c>
      <c r="O53" s="539" t="e">
        <f t="shared" ca="1" si="6"/>
        <v>#REF!</v>
      </c>
      <c r="P53" s="552"/>
      <c r="Q53" s="537">
        <v>1</v>
      </c>
      <c r="R53" s="538" t="e">
        <f t="shared" ca="1" si="16"/>
        <v>#REF!</v>
      </c>
      <c r="S53" s="553" t="e">
        <f t="shared" ca="1" si="7"/>
        <v>#REF!</v>
      </c>
      <c r="T53" s="500">
        <v>0.125</v>
      </c>
      <c r="U53" s="570" t="s">
        <v>718</v>
      </c>
      <c r="V53" s="554" t="str">
        <f t="shared" si="20"/>
        <v>entry in questionnaire</v>
      </c>
      <c r="W53" s="554" t="s">
        <v>1490</v>
      </c>
      <c r="X53" s="433">
        <v>1</v>
      </c>
      <c r="Y53" s="433">
        <v>1</v>
      </c>
      <c r="Z53" s="433">
        <v>1</v>
      </c>
      <c r="AA53" s="433">
        <v>1</v>
      </c>
      <c r="AB53" s="433">
        <v>1</v>
      </c>
      <c r="AC53" s="498" t="e">
        <f t="shared" ca="1" si="8"/>
        <v>#REF!</v>
      </c>
      <c r="AD53" s="542" t="e">
        <f t="shared" ca="1" si="34"/>
        <v>#REF!</v>
      </c>
      <c r="AE53" s="543" t="e">
        <f t="shared" ca="1" si="35"/>
        <v>#REF!</v>
      </c>
      <c r="AF53" s="544" t="e">
        <f t="shared" ca="1" si="36"/>
        <v>#REF!</v>
      </c>
      <c r="AG53" s="545" t="e">
        <f t="shared" ca="1" si="37"/>
        <v>#REF!</v>
      </c>
      <c r="AH53" s="546" t="e">
        <f t="shared" ca="1" si="38"/>
        <v>#REF!</v>
      </c>
      <c r="AI53" s="546" t="e">
        <f t="shared" ca="1" si="39"/>
        <v>#REF!</v>
      </c>
      <c r="AJ53" s="546" t="e">
        <f t="shared" ca="1" si="40"/>
        <v>#REF!</v>
      </c>
      <c r="AK53" s="546" t="e">
        <f t="shared" ca="1" si="41"/>
        <v>#REF!</v>
      </c>
      <c r="AL53" s="546" t="e">
        <f t="shared" ca="1" si="42"/>
        <v>#REF!</v>
      </c>
      <c r="AM53" t="s">
        <v>1033</v>
      </c>
    </row>
    <row r="54" spans="1:39" ht="12.75">
      <c r="A54" s="564">
        <v>6431</v>
      </c>
      <c r="B54" s="529"/>
      <c r="C54" s="450"/>
      <c r="D54" s="547">
        <v>5</v>
      </c>
      <c r="E54" s="548" t="s">
        <v>340</v>
      </c>
      <c r="F54" s="444" t="e">
        <f t="shared" ca="1" si="28"/>
        <v>#REF!</v>
      </c>
      <c r="G54" s="549" t="e">
        <f t="shared" ca="1" si="29"/>
        <v>#REF!</v>
      </c>
      <c r="H54" s="550" t="str">
        <f t="shared" ca="1" si="30"/>
        <v>-</v>
      </c>
      <c r="I54" s="550" t="str">
        <f t="shared" ca="1" si="31"/>
        <v>-</v>
      </c>
      <c r="J54" s="551" t="e">
        <f t="shared" ca="1" si="32"/>
        <v>#REF!</v>
      </c>
      <c r="K54" s="549" t="e">
        <f t="shared" ca="1" si="33"/>
        <v>#REF!</v>
      </c>
      <c r="L54" s="552">
        <f>(SUMIF(Substrates!AY:AY,'X-Exchange'!U54,Substrates!BD:BD)+$L$108/$L$110)*T54</f>
        <v>0</v>
      </c>
      <c r="M54" s="537">
        <v>1</v>
      </c>
      <c r="N54" s="538" t="e">
        <f t="shared" ca="1" si="15"/>
        <v>#REF!</v>
      </c>
      <c r="O54" s="539" t="e">
        <f t="shared" ca="1" si="6"/>
        <v>#REF!</v>
      </c>
      <c r="P54" s="552"/>
      <c r="Q54" s="537">
        <v>1</v>
      </c>
      <c r="R54" s="538" t="e">
        <f t="shared" ca="1" si="16"/>
        <v>#REF!</v>
      </c>
      <c r="S54" s="553" t="e">
        <f t="shared" ca="1" si="7"/>
        <v>#REF!</v>
      </c>
      <c r="T54" s="500">
        <v>1</v>
      </c>
      <c r="U54" s="570" t="s">
        <v>268</v>
      </c>
      <c r="V54" s="554" t="str">
        <f t="shared" si="20"/>
        <v>entry in questionnaire</v>
      </c>
      <c r="W54" s="554" t="s">
        <v>1490</v>
      </c>
      <c r="X54" s="433">
        <v>1</v>
      </c>
      <c r="Y54" s="433">
        <v>1</v>
      </c>
      <c r="Z54" s="433">
        <v>1</v>
      </c>
      <c r="AA54" s="433">
        <v>1</v>
      </c>
      <c r="AB54" s="433">
        <v>1</v>
      </c>
      <c r="AC54" s="498" t="e">
        <f t="shared" ca="1" si="8"/>
        <v>#REF!</v>
      </c>
      <c r="AD54" s="542" t="e">
        <f t="shared" ca="1" si="34"/>
        <v>#REF!</v>
      </c>
      <c r="AE54" s="543" t="e">
        <f t="shared" ca="1" si="35"/>
        <v>#REF!</v>
      </c>
      <c r="AF54" s="544" t="e">
        <f t="shared" ca="1" si="36"/>
        <v>#REF!</v>
      </c>
      <c r="AG54" s="545" t="e">
        <f t="shared" ca="1" si="37"/>
        <v>#REF!</v>
      </c>
      <c r="AH54" s="546" t="e">
        <f t="shared" ca="1" si="38"/>
        <v>#REF!</v>
      </c>
      <c r="AI54" s="546" t="e">
        <f t="shared" ca="1" si="39"/>
        <v>#REF!</v>
      </c>
      <c r="AJ54" s="546" t="e">
        <f t="shared" ca="1" si="40"/>
        <v>#REF!</v>
      </c>
      <c r="AK54" s="546" t="e">
        <f t="shared" ca="1" si="41"/>
        <v>#REF!</v>
      </c>
      <c r="AL54" s="546" t="e">
        <f t="shared" ca="1" si="42"/>
        <v>#REF!</v>
      </c>
      <c r="AM54" t="s">
        <v>1034</v>
      </c>
    </row>
    <row r="55" spans="1:39" ht="12.75">
      <c r="A55" s="564">
        <v>6805</v>
      </c>
      <c r="B55" s="529"/>
      <c r="C55" s="450"/>
      <c r="D55" s="547">
        <v>5</v>
      </c>
      <c r="E55" s="548" t="s">
        <v>340</v>
      </c>
      <c r="F55" s="444" t="e">
        <f t="shared" ca="1" si="28"/>
        <v>#REF!</v>
      </c>
      <c r="G55" s="549" t="e">
        <f t="shared" ca="1" si="29"/>
        <v>#REF!</v>
      </c>
      <c r="H55" s="550" t="str">
        <f t="shared" ca="1" si="30"/>
        <v>-</v>
      </c>
      <c r="I55" s="550" t="str">
        <f t="shared" ca="1" si="31"/>
        <v>-</v>
      </c>
      <c r="J55" s="551" t="e">
        <f t="shared" ca="1" si="32"/>
        <v>#REF!</v>
      </c>
      <c r="K55" s="549" t="e">
        <f t="shared" ca="1" si="33"/>
        <v>#REF!</v>
      </c>
      <c r="L55" s="552">
        <f>(SUMIF(Substrates!AY:AY,'X-Exchange'!U55,Substrates!BD:BD)+$L$108/$L$110)*T55</f>
        <v>0</v>
      </c>
      <c r="M55" s="537">
        <v>1</v>
      </c>
      <c r="N55" s="538" t="e">
        <f t="shared" ca="1" si="15"/>
        <v>#REF!</v>
      </c>
      <c r="O55" s="539" t="e">
        <f t="shared" ca="1" si="6"/>
        <v>#REF!</v>
      </c>
      <c r="P55" s="552"/>
      <c r="Q55" s="537">
        <v>1</v>
      </c>
      <c r="R55" s="538" t="e">
        <f t="shared" ca="1" si="16"/>
        <v>#REF!</v>
      </c>
      <c r="S55" s="553" t="e">
        <f t="shared" ca="1" si="7"/>
        <v>#REF!</v>
      </c>
      <c r="T55" s="500">
        <v>1</v>
      </c>
      <c r="U55" s="570" t="s">
        <v>269</v>
      </c>
      <c r="V55" s="554" t="str">
        <f t="shared" si="20"/>
        <v>entry in questionnaire</v>
      </c>
      <c r="W55" s="554" t="s">
        <v>1490</v>
      </c>
      <c r="X55" s="433">
        <v>1</v>
      </c>
      <c r="Y55" s="433">
        <v>1</v>
      </c>
      <c r="Z55" s="433">
        <v>1</v>
      </c>
      <c r="AA55" s="433">
        <v>1</v>
      </c>
      <c r="AB55" s="433">
        <v>1</v>
      </c>
      <c r="AC55" s="498" t="e">
        <f t="shared" ca="1" si="8"/>
        <v>#REF!</v>
      </c>
      <c r="AD55" s="542" t="e">
        <f t="shared" ca="1" si="34"/>
        <v>#REF!</v>
      </c>
      <c r="AE55" s="543" t="e">
        <f t="shared" ca="1" si="35"/>
        <v>#REF!</v>
      </c>
      <c r="AF55" s="544" t="e">
        <f t="shared" ca="1" si="36"/>
        <v>#REF!</v>
      </c>
      <c r="AG55" s="545" t="e">
        <f t="shared" ca="1" si="37"/>
        <v>#REF!</v>
      </c>
      <c r="AH55" s="546" t="e">
        <f t="shared" ca="1" si="38"/>
        <v>#REF!</v>
      </c>
      <c r="AI55" s="546" t="e">
        <f t="shared" ca="1" si="39"/>
        <v>#REF!</v>
      </c>
      <c r="AJ55" s="546" t="e">
        <f t="shared" ca="1" si="40"/>
        <v>#REF!</v>
      </c>
      <c r="AK55" s="546" t="e">
        <f t="shared" ca="1" si="41"/>
        <v>#REF!</v>
      </c>
      <c r="AL55" s="546" t="e">
        <f t="shared" ca="1" si="42"/>
        <v>#REF!</v>
      </c>
      <c r="AM55" t="s">
        <v>1035</v>
      </c>
    </row>
    <row r="56" spans="1:39" ht="12.75">
      <c r="A56" s="560" t="s">
        <v>1451</v>
      </c>
      <c r="B56" s="529"/>
      <c r="C56" s="450"/>
      <c r="D56" s="547">
        <v>5</v>
      </c>
      <c r="E56" s="548" t="s">
        <v>340</v>
      </c>
      <c r="F56" s="444" t="e">
        <f t="shared" ca="1" si="28"/>
        <v>#REF!</v>
      </c>
      <c r="G56" s="549" t="e">
        <f t="shared" ca="1" si="29"/>
        <v>#REF!</v>
      </c>
      <c r="H56" s="550" t="str">
        <f t="shared" ca="1" si="30"/>
        <v>-</v>
      </c>
      <c r="I56" s="550" t="str">
        <f t="shared" ca="1" si="31"/>
        <v>-</v>
      </c>
      <c r="J56" s="551" t="e">
        <f t="shared" ca="1" si="32"/>
        <v>#REF!</v>
      </c>
      <c r="K56" s="549" t="e">
        <f t="shared" ca="1" si="33"/>
        <v>#REF!</v>
      </c>
      <c r="L56" s="552">
        <f>(SUMIF(Substrates!AY:AY,'X-Exchange'!U56,Substrates!BD:BD)+$L$108/$L$110)*T56</f>
        <v>0</v>
      </c>
      <c r="M56" s="537">
        <v>1</v>
      </c>
      <c r="N56" s="538" t="e">
        <f t="shared" ca="1" si="15"/>
        <v>#REF!</v>
      </c>
      <c r="O56" s="539" t="e">
        <f t="shared" ca="1" si="6"/>
        <v>#REF!</v>
      </c>
      <c r="P56" s="552"/>
      <c r="Q56" s="537">
        <v>1</v>
      </c>
      <c r="R56" s="538" t="e">
        <f t="shared" ca="1" si="16"/>
        <v>#REF!</v>
      </c>
      <c r="S56" s="553" t="e">
        <f t="shared" ca="1" si="7"/>
        <v>#REF!</v>
      </c>
      <c r="T56" s="500">
        <v>1</v>
      </c>
      <c r="U56" s="570" t="s">
        <v>508</v>
      </c>
      <c r="V56" s="554" t="str">
        <f t="shared" si="20"/>
        <v>entry in questionnaire</v>
      </c>
      <c r="W56" s="554" t="s">
        <v>1490</v>
      </c>
      <c r="X56" s="433">
        <v>1</v>
      </c>
      <c r="Y56" s="433">
        <v>1</v>
      </c>
      <c r="Z56" s="433">
        <v>1</v>
      </c>
      <c r="AA56" s="433">
        <v>1</v>
      </c>
      <c r="AB56" s="433">
        <v>1</v>
      </c>
      <c r="AC56" s="498" t="e">
        <f t="shared" ca="1" si="8"/>
        <v>#REF!</v>
      </c>
      <c r="AD56" s="542" t="e">
        <f t="shared" ca="1" si="34"/>
        <v>#REF!</v>
      </c>
      <c r="AE56" s="543" t="e">
        <f t="shared" ca="1" si="35"/>
        <v>#REF!</v>
      </c>
      <c r="AF56" s="544" t="e">
        <f t="shared" ca="1" si="36"/>
        <v>#REF!</v>
      </c>
      <c r="AG56" s="545" t="e">
        <f t="shared" ca="1" si="37"/>
        <v>#REF!</v>
      </c>
      <c r="AH56" s="546" t="e">
        <f t="shared" ca="1" si="38"/>
        <v>#REF!</v>
      </c>
      <c r="AI56" s="546" t="e">
        <f t="shared" ca="1" si="39"/>
        <v>#REF!</v>
      </c>
      <c r="AJ56" s="546" t="e">
        <f t="shared" ca="1" si="40"/>
        <v>#REF!</v>
      </c>
      <c r="AK56" s="546" t="e">
        <f t="shared" ca="1" si="41"/>
        <v>#REF!</v>
      </c>
      <c r="AL56" s="546" t="e">
        <f t="shared" ca="1" si="42"/>
        <v>#REF!</v>
      </c>
      <c r="AM56" t="s">
        <v>1102</v>
      </c>
    </row>
    <row r="57" spans="1:39" ht="12.75">
      <c r="A57" s="560">
        <v>6324</v>
      </c>
      <c r="B57" s="529"/>
      <c r="C57" s="450"/>
      <c r="D57" s="547">
        <v>5</v>
      </c>
      <c r="E57" s="548" t="s">
        <v>340</v>
      </c>
      <c r="F57" s="444" t="e">
        <f t="shared" ca="1" si="28"/>
        <v>#REF!</v>
      </c>
      <c r="G57" s="549" t="e">
        <f t="shared" ca="1" si="29"/>
        <v>#REF!</v>
      </c>
      <c r="H57" s="550" t="str">
        <f t="shared" ca="1" si="30"/>
        <v>-</v>
      </c>
      <c r="I57" s="550" t="str">
        <f t="shared" ca="1" si="31"/>
        <v>-</v>
      </c>
      <c r="J57" s="551" t="e">
        <f t="shared" ca="1" si="32"/>
        <v>#REF!</v>
      </c>
      <c r="K57" s="549" t="e">
        <f t="shared" ca="1" si="33"/>
        <v>#REF!</v>
      </c>
      <c r="L57" s="552">
        <f>(SUMIF(Substrates!AY:AY,'X-Exchange'!U57,Substrates!BD:BD)+$L$108/$L$110)*T57</f>
        <v>0</v>
      </c>
      <c r="M57" s="537">
        <v>1</v>
      </c>
      <c r="N57" s="538" t="e">
        <f t="shared" ca="1" si="15"/>
        <v>#REF!</v>
      </c>
      <c r="O57" s="539" t="e">
        <f t="shared" ca="1" si="6"/>
        <v>#REF!</v>
      </c>
      <c r="P57" s="552"/>
      <c r="Q57" s="537">
        <v>1</v>
      </c>
      <c r="R57" s="538" t="e">
        <f t="shared" ca="1" si="16"/>
        <v>#REF!</v>
      </c>
      <c r="S57" s="553" t="e">
        <f t="shared" ca="1" si="7"/>
        <v>#REF!</v>
      </c>
      <c r="T57" s="500">
        <v>1</v>
      </c>
      <c r="U57" s="571" t="s">
        <v>942</v>
      </c>
      <c r="V57" s="554" t="str">
        <f t="shared" si="20"/>
        <v>entry in questionnaire</v>
      </c>
      <c r="W57" s="554" t="s">
        <v>1490</v>
      </c>
      <c r="X57" s="433">
        <v>1</v>
      </c>
      <c r="Y57" s="433">
        <v>1</v>
      </c>
      <c r="Z57" s="433">
        <v>1</v>
      </c>
      <c r="AA57" s="433">
        <v>1</v>
      </c>
      <c r="AB57" s="433">
        <v>1</v>
      </c>
      <c r="AC57" s="498" t="e">
        <f t="shared" ca="1" si="8"/>
        <v>#REF!</v>
      </c>
      <c r="AD57" s="542" t="e">
        <f t="shared" ca="1" si="34"/>
        <v>#REF!</v>
      </c>
      <c r="AE57" s="543" t="e">
        <f t="shared" ca="1" si="35"/>
        <v>#REF!</v>
      </c>
      <c r="AF57" s="544" t="e">
        <f t="shared" ca="1" si="36"/>
        <v>#REF!</v>
      </c>
      <c r="AG57" s="545" t="e">
        <f t="shared" ca="1" si="37"/>
        <v>#REF!</v>
      </c>
      <c r="AH57" s="546" t="e">
        <f t="shared" ca="1" si="38"/>
        <v>#REF!</v>
      </c>
      <c r="AI57" s="546" t="e">
        <f t="shared" ca="1" si="39"/>
        <v>#REF!</v>
      </c>
      <c r="AJ57" s="546" t="e">
        <f t="shared" ca="1" si="40"/>
        <v>#REF!</v>
      </c>
      <c r="AK57" s="546" t="e">
        <f t="shared" ca="1" si="41"/>
        <v>#REF!</v>
      </c>
      <c r="AL57" s="546" t="e">
        <f t="shared" ca="1" si="42"/>
        <v>#REF!</v>
      </c>
      <c r="AM57" t="s">
        <v>1036</v>
      </c>
    </row>
    <row r="58" spans="1:39" ht="12.75">
      <c r="A58" s="563" t="s">
        <v>1450</v>
      </c>
      <c r="B58" s="529"/>
      <c r="C58" s="450"/>
      <c r="D58" s="547">
        <v>5</v>
      </c>
      <c r="E58" s="548" t="s">
        <v>340</v>
      </c>
      <c r="F58" s="444" t="e">
        <f t="shared" ca="1" si="28"/>
        <v>#REF!</v>
      </c>
      <c r="G58" s="549" t="e">
        <f t="shared" ca="1" si="29"/>
        <v>#REF!</v>
      </c>
      <c r="H58" s="550" t="str">
        <f t="shared" ca="1" si="30"/>
        <v>-</v>
      </c>
      <c r="I58" s="550" t="str">
        <f t="shared" ca="1" si="31"/>
        <v>-</v>
      </c>
      <c r="J58" s="551" t="e">
        <f t="shared" ca="1" si="32"/>
        <v>#REF!</v>
      </c>
      <c r="K58" s="549" t="e">
        <f t="shared" ca="1" si="33"/>
        <v>#REF!</v>
      </c>
      <c r="L58" s="575">
        <f>SUMIF(Substrates!AY:AY,'X-Exchange'!U58,Substrates!BD:BD)</f>
        <v>0</v>
      </c>
      <c r="M58" s="537">
        <v>1</v>
      </c>
      <c r="N58" s="538" t="e">
        <f t="shared" ca="1" si="15"/>
        <v>#REF!</v>
      </c>
      <c r="O58" s="539" t="e">
        <f t="shared" ca="1" si="6"/>
        <v>#REF!</v>
      </c>
      <c r="P58" s="552"/>
      <c r="Q58" s="537">
        <v>1</v>
      </c>
      <c r="R58" s="538" t="e">
        <f t="shared" ca="1" si="16"/>
        <v>#REF!</v>
      </c>
      <c r="S58" s="553" t="e">
        <f t="shared" ca="1" si="7"/>
        <v>#REF!</v>
      </c>
      <c r="T58" s="500">
        <v>1</v>
      </c>
      <c r="U58" s="570" t="s">
        <v>1097</v>
      </c>
      <c r="V58" s="554" t="str">
        <f t="shared" si="20"/>
        <v>entry in questionnaire</v>
      </c>
      <c r="W58" s="554" t="s">
        <v>1490</v>
      </c>
      <c r="X58" s="433">
        <v>1</v>
      </c>
      <c r="Y58" s="433">
        <v>1</v>
      </c>
      <c r="Z58" s="433">
        <v>1</v>
      </c>
      <c r="AA58" s="433">
        <v>1</v>
      </c>
      <c r="AB58" s="433">
        <v>1</v>
      </c>
      <c r="AC58" s="498" t="e">
        <f t="shared" ca="1" si="8"/>
        <v>#REF!</v>
      </c>
      <c r="AD58" s="542" t="e">
        <f t="shared" ca="1" si="34"/>
        <v>#REF!</v>
      </c>
      <c r="AE58" s="543" t="e">
        <f t="shared" ca="1" si="35"/>
        <v>#REF!</v>
      </c>
      <c r="AF58" s="544" t="e">
        <f t="shared" ca="1" si="36"/>
        <v>#REF!</v>
      </c>
      <c r="AG58" s="545" t="e">
        <f t="shared" ca="1" si="37"/>
        <v>#REF!</v>
      </c>
      <c r="AH58" s="546" t="e">
        <f t="shared" ca="1" si="38"/>
        <v>#REF!</v>
      </c>
      <c r="AI58" s="546" t="e">
        <f t="shared" ca="1" si="39"/>
        <v>#REF!</v>
      </c>
      <c r="AJ58" s="546" t="e">
        <f t="shared" ca="1" si="40"/>
        <v>#REF!</v>
      </c>
      <c r="AK58" s="546" t="e">
        <f t="shared" ca="1" si="41"/>
        <v>#REF!</v>
      </c>
      <c r="AL58" s="546" t="e">
        <f t="shared" ca="1" si="42"/>
        <v>#REF!</v>
      </c>
      <c r="AM58" t="s">
        <v>1092</v>
      </c>
    </row>
    <row r="59" spans="1:39" ht="12.75">
      <c r="A59" s="563" t="s">
        <v>1452</v>
      </c>
      <c r="B59" s="529"/>
      <c r="C59" s="450"/>
      <c r="D59" s="547">
        <v>5</v>
      </c>
      <c r="E59" s="548" t="s">
        <v>340</v>
      </c>
      <c r="F59" s="444" t="e">
        <f t="shared" ca="1" si="28"/>
        <v>#REF!</v>
      </c>
      <c r="G59" s="549" t="e">
        <f t="shared" ca="1" si="29"/>
        <v>#REF!</v>
      </c>
      <c r="H59" s="550" t="str">
        <f t="shared" ca="1" si="30"/>
        <v>-</v>
      </c>
      <c r="I59" s="550" t="str">
        <f t="shared" ca="1" si="31"/>
        <v>-</v>
      </c>
      <c r="J59" s="551" t="e">
        <f t="shared" ca="1" si="32"/>
        <v>#REF!</v>
      </c>
      <c r="K59" s="549" t="e">
        <f t="shared" ca="1" si="33"/>
        <v>#REF!</v>
      </c>
      <c r="L59" s="575">
        <f>SUMIF(Substrates!AY:AY,'X-Exchange'!U59,Substrates!BD:BD)</f>
        <v>0</v>
      </c>
      <c r="M59" s="537">
        <v>1</v>
      </c>
      <c r="N59" s="538" t="e">
        <f t="shared" ca="1" si="15"/>
        <v>#REF!</v>
      </c>
      <c r="O59" s="539" t="e">
        <f t="shared" ca="1" si="6"/>
        <v>#REF!</v>
      </c>
      <c r="P59" s="552"/>
      <c r="Q59" s="537">
        <v>1</v>
      </c>
      <c r="R59" s="538" t="e">
        <f t="shared" ca="1" si="16"/>
        <v>#REF!</v>
      </c>
      <c r="S59" s="553" t="e">
        <f t="shared" ca="1" si="7"/>
        <v>#REF!</v>
      </c>
      <c r="T59" s="500">
        <v>1</v>
      </c>
      <c r="U59" s="570" t="s">
        <v>1098</v>
      </c>
      <c r="V59" s="554" t="str">
        <f t="shared" si="20"/>
        <v>entry in questionnaire</v>
      </c>
      <c r="W59" s="554" t="s">
        <v>1490</v>
      </c>
      <c r="X59" s="433">
        <v>1</v>
      </c>
      <c r="Y59" s="433">
        <v>1</v>
      </c>
      <c r="Z59" s="433">
        <v>1</v>
      </c>
      <c r="AA59" s="433">
        <v>1</v>
      </c>
      <c r="AB59" s="433">
        <v>1</v>
      </c>
      <c r="AC59" s="498" t="e">
        <f t="shared" ca="1" si="8"/>
        <v>#REF!</v>
      </c>
      <c r="AD59" s="542" t="e">
        <f t="shared" ca="1" si="34"/>
        <v>#REF!</v>
      </c>
      <c r="AE59" s="543" t="e">
        <f t="shared" ca="1" si="35"/>
        <v>#REF!</v>
      </c>
      <c r="AF59" s="544" t="e">
        <f t="shared" ca="1" si="36"/>
        <v>#REF!</v>
      </c>
      <c r="AG59" s="545" t="e">
        <f t="shared" ca="1" si="37"/>
        <v>#REF!</v>
      </c>
      <c r="AH59" s="546" t="e">
        <f t="shared" ca="1" si="38"/>
        <v>#REF!</v>
      </c>
      <c r="AI59" s="546" t="e">
        <f t="shared" ca="1" si="39"/>
        <v>#REF!</v>
      </c>
      <c r="AJ59" s="546" t="e">
        <f t="shared" ca="1" si="40"/>
        <v>#REF!</v>
      </c>
      <c r="AK59" s="546" t="e">
        <f t="shared" ca="1" si="41"/>
        <v>#REF!</v>
      </c>
      <c r="AL59" s="546" t="e">
        <f t="shared" ca="1" si="42"/>
        <v>#REF!</v>
      </c>
      <c r="AM59" t="s">
        <v>1093</v>
      </c>
    </row>
    <row r="60" spans="1:39" ht="12.75">
      <c r="A60" s="560">
        <v>6873</v>
      </c>
      <c r="B60" s="529"/>
      <c r="C60" s="450"/>
      <c r="D60" s="547">
        <v>5</v>
      </c>
      <c r="E60" s="548" t="s">
        <v>340</v>
      </c>
      <c r="F60" s="444" t="e">
        <f t="shared" ca="1" si="28"/>
        <v>#REF!</v>
      </c>
      <c r="G60" s="549" t="e">
        <f t="shared" ca="1" si="29"/>
        <v>#REF!</v>
      </c>
      <c r="H60" s="550" t="str">
        <f t="shared" ca="1" si="30"/>
        <v>-</v>
      </c>
      <c r="I60" s="550" t="str">
        <f t="shared" ca="1" si="31"/>
        <v>-</v>
      </c>
      <c r="J60" s="551" t="e">
        <f t="shared" ca="1" si="32"/>
        <v>#REF!</v>
      </c>
      <c r="K60" s="549" t="e">
        <f t="shared" ca="1" si="33"/>
        <v>#REF!</v>
      </c>
      <c r="L60" s="575">
        <f>SUMIF(Substrates!AY:AY,'X-Exchange'!U60,Substrates!BD:BD)</f>
        <v>0</v>
      </c>
      <c r="M60" s="537">
        <v>1</v>
      </c>
      <c r="N60" s="538" t="e">
        <f t="shared" ca="1" si="15"/>
        <v>#REF!</v>
      </c>
      <c r="O60" s="539" t="e">
        <f t="shared" ca="1" si="6"/>
        <v>#REF!</v>
      </c>
      <c r="P60" s="552"/>
      <c r="Q60" s="537">
        <v>1</v>
      </c>
      <c r="R60" s="538" t="e">
        <f t="shared" ca="1" si="16"/>
        <v>#REF!</v>
      </c>
      <c r="S60" s="553" t="e">
        <f t="shared" ca="1" si="7"/>
        <v>#REF!</v>
      </c>
      <c r="T60" s="500">
        <v>1</v>
      </c>
      <c r="U60" s="570" t="s">
        <v>1099</v>
      </c>
      <c r="V60" s="554" t="str">
        <f t="shared" si="20"/>
        <v>entry in questionnaire</v>
      </c>
      <c r="W60" s="554" t="s">
        <v>1490</v>
      </c>
      <c r="X60" s="433">
        <v>1</v>
      </c>
      <c r="Y60" s="433">
        <v>1</v>
      </c>
      <c r="Z60" s="433">
        <v>1</v>
      </c>
      <c r="AA60" s="433">
        <v>1</v>
      </c>
      <c r="AB60" s="433">
        <v>1</v>
      </c>
      <c r="AC60" s="498" t="e">
        <f t="shared" ca="1" si="8"/>
        <v>#REF!</v>
      </c>
      <c r="AD60" s="542" t="e">
        <f t="shared" ca="1" si="34"/>
        <v>#REF!</v>
      </c>
      <c r="AE60" s="543" t="e">
        <f t="shared" ca="1" si="35"/>
        <v>#REF!</v>
      </c>
      <c r="AF60" s="544" t="e">
        <f t="shared" ca="1" si="36"/>
        <v>#REF!</v>
      </c>
      <c r="AG60" s="545" t="e">
        <f t="shared" ca="1" si="37"/>
        <v>#REF!</v>
      </c>
      <c r="AH60" s="546" t="e">
        <f t="shared" ca="1" si="38"/>
        <v>#REF!</v>
      </c>
      <c r="AI60" s="546" t="e">
        <f t="shared" ca="1" si="39"/>
        <v>#REF!</v>
      </c>
      <c r="AJ60" s="546" t="e">
        <f t="shared" ca="1" si="40"/>
        <v>#REF!</v>
      </c>
      <c r="AK60" s="546" t="e">
        <f t="shared" ca="1" si="41"/>
        <v>#REF!</v>
      </c>
      <c r="AL60" s="546" t="e">
        <f t="shared" ca="1" si="42"/>
        <v>#REF!</v>
      </c>
      <c r="AM60" t="s">
        <v>1094</v>
      </c>
    </row>
    <row r="61" spans="1:39" ht="12.75">
      <c r="A61" s="560" t="s">
        <v>1453</v>
      </c>
      <c r="B61" s="529"/>
      <c r="C61" s="450"/>
      <c r="D61" s="547">
        <v>5</v>
      </c>
      <c r="E61" s="548" t="s">
        <v>340</v>
      </c>
      <c r="F61" s="444" t="e">
        <f t="shared" ca="1" si="28"/>
        <v>#REF!</v>
      </c>
      <c r="G61" s="549" t="e">
        <f t="shared" ca="1" si="29"/>
        <v>#REF!</v>
      </c>
      <c r="H61" s="550" t="str">
        <f t="shared" ca="1" si="30"/>
        <v>-</v>
      </c>
      <c r="I61" s="550" t="str">
        <f t="shared" ca="1" si="31"/>
        <v>-</v>
      </c>
      <c r="J61" s="551" t="e">
        <f t="shared" ca="1" si="32"/>
        <v>#REF!</v>
      </c>
      <c r="K61" s="549" t="e">
        <f t="shared" ca="1" si="33"/>
        <v>#REF!</v>
      </c>
      <c r="L61" s="575">
        <f>SUMIF(Substrates!AY:AY,'X-Exchange'!U61,Substrates!BD:BD)</f>
        <v>0</v>
      </c>
      <c r="M61" s="537">
        <v>1</v>
      </c>
      <c r="N61" s="538" t="e">
        <f t="shared" ca="1" si="15"/>
        <v>#REF!</v>
      </c>
      <c r="O61" s="539" t="e">
        <f t="shared" ca="1" si="6"/>
        <v>#REF!</v>
      </c>
      <c r="P61" s="552"/>
      <c r="Q61" s="537">
        <v>1</v>
      </c>
      <c r="R61" s="538" t="e">
        <f t="shared" ca="1" si="16"/>
        <v>#REF!</v>
      </c>
      <c r="S61" s="553" t="e">
        <f t="shared" ca="1" si="7"/>
        <v>#REF!</v>
      </c>
      <c r="T61" s="500">
        <v>1</v>
      </c>
      <c r="U61" s="570" t="s">
        <v>1100</v>
      </c>
      <c r="V61" s="554" t="str">
        <f t="shared" si="20"/>
        <v>entry in questionnaire</v>
      </c>
      <c r="W61" s="554" t="s">
        <v>1490</v>
      </c>
      <c r="X61" s="433">
        <v>1</v>
      </c>
      <c r="Y61" s="433">
        <v>1</v>
      </c>
      <c r="Z61" s="433">
        <v>1</v>
      </c>
      <c r="AA61" s="433">
        <v>1</v>
      </c>
      <c r="AB61" s="433">
        <v>1</v>
      </c>
      <c r="AC61" s="498" t="e">
        <f t="shared" ca="1" si="8"/>
        <v>#REF!</v>
      </c>
      <c r="AD61" s="542" t="e">
        <f t="shared" ca="1" si="34"/>
        <v>#REF!</v>
      </c>
      <c r="AE61" s="543" t="e">
        <f t="shared" ca="1" si="35"/>
        <v>#REF!</v>
      </c>
      <c r="AF61" s="544" t="e">
        <f t="shared" ca="1" si="36"/>
        <v>#REF!</v>
      </c>
      <c r="AG61" s="545" t="e">
        <f t="shared" ca="1" si="37"/>
        <v>#REF!</v>
      </c>
      <c r="AH61" s="546" t="e">
        <f t="shared" ca="1" si="38"/>
        <v>#REF!</v>
      </c>
      <c r="AI61" s="546" t="e">
        <f t="shared" ca="1" si="39"/>
        <v>#REF!</v>
      </c>
      <c r="AJ61" s="546" t="e">
        <f t="shared" ca="1" si="40"/>
        <v>#REF!</v>
      </c>
      <c r="AK61" s="546" t="e">
        <f t="shared" ca="1" si="41"/>
        <v>#REF!</v>
      </c>
      <c r="AL61" s="546" t="e">
        <f t="shared" ca="1" si="42"/>
        <v>#REF!</v>
      </c>
      <c r="AM61" t="s">
        <v>1095</v>
      </c>
    </row>
    <row r="62" spans="1:39" ht="12.75">
      <c r="A62" s="560" t="s">
        <v>1454</v>
      </c>
      <c r="B62" s="529"/>
      <c r="C62" s="450"/>
      <c r="D62" s="547">
        <v>5</v>
      </c>
      <c r="E62" s="548" t="s">
        <v>340</v>
      </c>
      <c r="F62" s="444" t="e">
        <f t="shared" ca="1" si="28"/>
        <v>#REF!</v>
      </c>
      <c r="G62" s="549" t="e">
        <f t="shared" ca="1" si="29"/>
        <v>#REF!</v>
      </c>
      <c r="H62" s="550" t="str">
        <f t="shared" ca="1" si="30"/>
        <v>-</v>
      </c>
      <c r="I62" s="550" t="str">
        <f t="shared" ca="1" si="31"/>
        <v>-</v>
      </c>
      <c r="J62" s="551" t="e">
        <f t="shared" ca="1" si="32"/>
        <v>#REF!</v>
      </c>
      <c r="K62" s="549" t="e">
        <f t="shared" ca="1" si="33"/>
        <v>#REF!</v>
      </c>
      <c r="L62" s="575">
        <f>SUMIF(Substrates!AY:AY,'X-Exchange'!U62,Substrates!BD:BD)</f>
        <v>0</v>
      </c>
      <c r="M62" s="537">
        <v>1</v>
      </c>
      <c r="N62" s="538" t="e">
        <f t="shared" ca="1" si="15"/>
        <v>#REF!</v>
      </c>
      <c r="O62" s="539" t="e">
        <f t="shared" ca="1" si="6"/>
        <v>#REF!</v>
      </c>
      <c r="P62" s="552"/>
      <c r="Q62" s="537">
        <v>1</v>
      </c>
      <c r="R62" s="538" t="e">
        <f t="shared" ca="1" si="16"/>
        <v>#REF!</v>
      </c>
      <c r="S62" s="553" t="e">
        <f t="shared" ca="1" si="7"/>
        <v>#REF!</v>
      </c>
      <c r="T62" s="500">
        <v>1</v>
      </c>
      <c r="U62" s="570" t="s">
        <v>1101</v>
      </c>
      <c r="V62" s="554" t="str">
        <f t="shared" si="20"/>
        <v>entry in questionnaire</v>
      </c>
      <c r="W62" s="554" t="s">
        <v>1490</v>
      </c>
      <c r="X62" s="433">
        <v>1</v>
      </c>
      <c r="Y62" s="433">
        <v>1</v>
      </c>
      <c r="Z62" s="433">
        <v>1</v>
      </c>
      <c r="AA62" s="433">
        <v>1</v>
      </c>
      <c r="AB62" s="433">
        <v>1</v>
      </c>
      <c r="AC62" s="498" t="e">
        <f t="shared" ca="1" si="8"/>
        <v>#REF!</v>
      </c>
      <c r="AD62" s="542" t="e">
        <f t="shared" ca="1" si="34"/>
        <v>#REF!</v>
      </c>
      <c r="AE62" s="543" t="e">
        <f t="shared" ca="1" si="35"/>
        <v>#REF!</v>
      </c>
      <c r="AF62" s="544" t="e">
        <f t="shared" ca="1" si="36"/>
        <v>#REF!</v>
      </c>
      <c r="AG62" s="545" t="e">
        <f t="shared" ca="1" si="37"/>
        <v>#REF!</v>
      </c>
      <c r="AH62" s="546" t="e">
        <f t="shared" ca="1" si="38"/>
        <v>#REF!</v>
      </c>
      <c r="AI62" s="546" t="e">
        <f t="shared" ca="1" si="39"/>
        <v>#REF!</v>
      </c>
      <c r="AJ62" s="546" t="e">
        <f t="shared" ca="1" si="40"/>
        <v>#REF!</v>
      </c>
      <c r="AK62" s="546" t="e">
        <f t="shared" ca="1" si="41"/>
        <v>#REF!</v>
      </c>
      <c r="AL62" s="546" t="e">
        <f t="shared" ca="1" si="42"/>
        <v>#REF!</v>
      </c>
      <c r="AM62" t="s">
        <v>1096</v>
      </c>
    </row>
    <row r="63" spans="1:39" ht="12.75">
      <c r="A63" s="566">
        <v>10747</v>
      </c>
      <c r="B63" s="529"/>
      <c r="C63" s="450"/>
      <c r="D63" s="547">
        <v>5</v>
      </c>
      <c r="E63" s="548" t="s">
        <v>340</v>
      </c>
      <c r="F63" s="444" t="e">
        <f t="shared" ca="1" si="28"/>
        <v>#REF!</v>
      </c>
      <c r="G63" s="549" t="e">
        <f t="shared" ca="1" si="29"/>
        <v>#REF!</v>
      </c>
      <c r="H63" s="550" t="str">
        <f t="shared" ca="1" si="30"/>
        <v>-</v>
      </c>
      <c r="I63" s="550" t="str">
        <f t="shared" ca="1" si="31"/>
        <v>-</v>
      </c>
      <c r="J63" s="551" t="e">
        <f t="shared" ca="1" si="32"/>
        <v>#REF!</v>
      </c>
      <c r="K63" s="549" t="e">
        <f t="shared" ca="1" si="33"/>
        <v>#REF!</v>
      </c>
      <c r="L63" s="552">
        <f>(SUMIF(Substrates!AY:AY,'X-Exchange'!U63,Substrates!BD:BD)+$L$108/$L$110)*T63</f>
        <v>0</v>
      </c>
      <c r="M63" s="537">
        <v>1</v>
      </c>
      <c r="N63" s="538" t="e">
        <f t="shared" ca="1" si="15"/>
        <v>#REF!</v>
      </c>
      <c r="O63" s="539" t="e">
        <f t="shared" ca="1" si="6"/>
        <v>#REF!</v>
      </c>
      <c r="P63" s="552"/>
      <c r="Q63" s="537">
        <v>1</v>
      </c>
      <c r="R63" s="538" t="e">
        <f t="shared" ca="1" si="16"/>
        <v>#REF!</v>
      </c>
      <c r="S63" s="553" t="e">
        <f t="shared" ca="1" si="7"/>
        <v>#REF!</v>
      </c>
      <c r="T63" s="500">
        <v>1</v>
      </c>
      <c r="U63" s="568" t="s">
        <v>898</v>
      </c>
      <c r="V63" s="554" t="str">
        <f t="shared" si="20"/>
        <v>entry in questionnaire</v>
      </c>
      <c r="W63" s="554" t="s">
        <v>1490</v>
      </c>
      <c r="X63" s="433">
        <v>1</v>
      </c>
      <c r="Y63" s="433">
        <v>1</v>
      </c>
      <c r="Z63" s="433">
        <v>1</v>
      </c>
      <c r="AA63" s="433">
        <v>1</v>
      </c>
      <c r="AB63" s="433">
        <v>1</v>
      </c>
      <c r="AC63" s="498" t="e">
        <f t="shared" ca="1" si="8"/>
        <v>#REF!</v>
      </c>
      <c r="AD63" s="542" t="e">
        <f t="shared" ca="1" si="34"/>
        <v>#REF!</v>
      </c>
      <c r="AE63" s="543" t="e">
        <f t="shared" ca="1" si="35"/>
        <v>#REF!</v>
      </c>
      <c r="AF63" s="544" t="e">
        <f t="shared" ca="1" si="36"/>
        <v>#REF!</v>
      </c>
      <c r="AG63" s="545" t="e">
        <f t="shared" ca="1" si="37"/>
        <v>#REF!</v>
      </c>
      <c r="AH63" s="546" t="e">
        <f t="shared" ca="1" si="38"/>
        <v>#REF!</v>
      </c>
      <c r="AI63" s="546" t="e">
        <f t="shared" ca="1" si="39"/>
        <v>#REF!</v>
      </c>
      <c r="AJ63" s="546" t="e">
        <f t="shared" ca="1" si="40"/>
        <v>#REF!</v>
      </c>
      <c r="AK63" s="546" t="e">
        <f t="shared" ca="1" si="41"/>
        <v>#REF!</v>
      </c>
      <c r="AL63" s="546" t="e">
        <f t="shared" ca="1" si="42"/>
        <v>#REF!</v>
      </c>
    </row>
    <row r="64" spans="1:39" ht="12.75">
      <c r="A64" s="563" t="s">
        <v>1455</v>
      </c>
      <c r="B64" s="529"/>
      <c r="C64" s="450"/>
      <c r="D64" s="547">
        <v>5</v>
      </c>
      <c r="E64" s="548" t="s">
        <v>340</v>
      </c>
      <c r="F64" s="444" t="e">
        <f t="shared" ca="1" si="28"/>
        <v>#REF!</v>
      </c>
      <c r="G64" s="549" t="e">
        <f t="shared" ca="1" si="29"/>
        <v>#REF!</v>
      </c>
      <c r="H64" s="550" t="str">
        <f t="shared" ca="1" si="30"/>
        <v>-</v>
      </c>
      <c r="I64" s="550" t="str">
        <f t="shared" ca="1" si="31"/>
        <v>-</v>
      </c>
      <c r="J64" s="551" t="e">
        <f t="shared" ca="1" si="32"/>
        <v>#REF!</v>
      </c>
      <c r="K64" s="549" t="e">
        <f t="shared" ca="1" si="33"/>
        <v>#REF!</v>
      </c>
      <c r="L64" s="552">
        <f>(SUMIF(Substrates!AY:AY,'X-Exchange'!U64,Substrates!BD:BD)+$L$108/$L$110)*T64</f>
        <v>0</v>
      </c>
      <c r="M64" s="537">
        <v>1</v>
      </c>
      <c r="N64" s="538" t="e">
        <f t="shared" ca="1" si="15"/>
        <v>#REF!</v>
      </c>
      <c r="O64" s="539" t="e">
        <f t="shared" ca="1" si="6"/>
        <v>#REF!</v>
      </c>
      <c r="P64" s="552"/>
      <c r="Q64" s="537">
        <v>1</v>
      </c>
      <c r="R64" s="538" t="e">
        <f t="shared" ca="1" si="16"/>
        <v>#REF!</v>
      </c>
      <c r="S64" s="553" t="e">
        <f t="shared" ca="1" si="7"/>
        <v>#REF!</v>
      </c>
      <c r="T64" s="500">
        <v>1</v>
      </c>
      <c r="U64" s="568" t="s">
        <v>899</v>
      </c>
      <c r="V64" s="554" t="str">
        <f t="shared" si="20"/>
        <v>entry in questionnaire</v>
      </c>
      <c r="W64" s="554" t="s">
        <v>1490</v>
      </c>
      <c r="X64" s="433">
        <v>1</v>
      </c>
      <c r="Y64" s="433">
        <v>1</v>
      </c>
      <c r="Z64" s="433">
        <v>1</v>
      </c>
      <c r="AA64" s="433">
        <v>1</v>
      </c>
      <c r="AB64" s="433">
        <v>1</v>
      </c>
      <c r="AC64" s="498" t="e">
        <f t="shared" ca="1" si="8"/>
        <v>#REF!</v>
      </c>
      <c r="AD64" s="542" t="e">
        <f t="shared" ca="1" si="34"/>
        <v>#REF!</v>
      </c>
      <c r="AE64" s="543" t="e">
        <f t="shared" ca="1" si="35"/>
        <v>#REF!</v>
      </c>
      <c r="AF64" s="544" t="e">
        <f t="shared" ca="1" si="36"/>
        <v>#REF!</v>
      </c>
      <c r="AG64" s="545" t="e">
        <f t="shared" ca="1" si="37"/>
        <v>#REF!</v>
      </c>
      <c r="AH64" s="546" t="e">
        <f t="shared" ca="1" si="38"/>
        <v>#REF!</v>
      </c>
      <c r="AI64" s="546" t="e">
        <f t="shared" ca="1" si="39"/>
        <v>#REF!</v>
      </c>
      <c r="AJ64" s="546" t="e">
        <f t="shared" ca="1" si="40"/>
        <v>#REF!</v>
      </c>
      <c r="AK64" s="546" t="e">
        <f t="shared" ca="1" si="41"/>
        <v>#REF!</v>
      </c>
      <c r="AL64" s="546" t="e">
        <f t="shared" ca="1" si="42"/>
        <v>#REF!</v>
      </c>
    </row>
    <row r="65" spans="1:38" ht="12.75">
      <c r="A65" s="566">
        <v>486</v>
      </c>
      <c r="B65" s="529"/>
      <c r="C65" s="450"/>
      <c r="D65" s="547">
        <v>5</v>
      </c>
      <c r="E65" s="548" t="s">
        <v>340</v>
      </c>
      <c r="F65" s="444" t="e">
        <f t="shared" ca="1" si="28"/>
        <v>#REF!</v>
      </c>
      <c r="G65" s="549" t="e">
        <f t="shared" ca="1" si="29"/>
        <v>#REF!</v>
      </c>
      <c r="H65" s="550" t="str">
        <f t="shared" ca="1" si="30"/>
        <v>-</v>
      </c>
      <c r="I65" s="550" t="str">
        <f t="shared" ca="1" si="31"/>
        <v>-</v>
      </c>
      <c r="J65" s="551" t="e">
        <f t="shared" ca="1" si="32"/>
        <v>#REF!</v>
      </c>
      <c r="K65" s="549" t="e">
        <f t="shared" ca="1" si="33"/>
        <v>#REF!</v>
      </c>
      <c r="L65" s="552">
        <f>(SUMIF(Substrates!AY:AY,'X-Exchange'!U65,Substrates!BD:BD)+$L$108/$L$110)*T65</f>
        <v>0</v>
      </c>
      <c r="M65" s="537">
        <v>1</v>
      </c>
      <c r="N65" s="538" t="e">
        <f t="shared" ca="1" si="15"/>
        <v>#REF!</v>
      </c>
      <c r="O65" s="539" t="e">
        <f t="shared" ca="1" si="6"/>
        <v>#REF!</v>
      </c>
      <c r="P65" s="552"/>
      <c r="Q65" s="537">
        <v>1</v>
      </c>
      <c r="R65" s="538" t="e">
        <f t="shared" ca="1" si="16"/>
        <v>#REF!</v>
      </c>
      <c r="S65" s="553" t="e">
        <f t="shared" ca="1" si="7"/>
        <v>#REF!</v>
      </c>
      <c r="T65" s="500">
        <v>1</v>
      </c>
      <c r="U65" s="568" t="s">
        <v>900</v>
      </c>
      <c r="V65" s="554" t="str">
        <f t="shared" si="20"/>
        <v>entry in questionnaire</v>
      </c>
      <c r="W65" s="554" t="s">
        <v>1490</v>
      </c>
      <c r="X65" s="433">
        <v>1</v>
      </c>
      <c r="Y65" s="433">
        <v>1</v>
      </c>
      <c r="Z65" s="433">
        <v>1</v>
      </c>
      <c r="AA65" s="433">
        <v>1</v>
      </c>
      <c r="AB65" s="433">
        <v>1</v>
      </c>
      <c r="AC65" s="498" t="e">
        <f t="shared" ca="1" si="8"/>
        <v>#REF!</v>
      </c>
      <c r="AD65" s="542" t="e">
        <f t="shared" ca="1" si="34"/>
        <v>#REF!</v>
      </c>
      <c r="AE65" s="543" t="e">
        <f t="shared" ca="1" si="35"/>
        <v>#REF!</v>
      </c>
      <c r="AF65" s="544" t="e">
        <f t="shared" ca="1" si="36"/>
        <v>#REF!</v>
      </c>
      <c r="AG65" s="545" t="e">
        <f t="shared" ca="1" si="37"/>
        <v>#REF!</v>
      </c>
      <c r="AH65" s="546" t="e">
        <f t="shared" ca="1" si="38"/>
        <v>#REF!</v>
      </c>
      <c r="AI65" s="546" t="e">
        <f t="shared" ca="1" si="39"/>
        <v>#REF!</v>
      </c>
      <c r="AJ65" s="546" t="e">
        <f t="shared" ca="1" si="40"/>
        <v>#REF!</v>
      </c>
      <c r="AK65" s="546" t="e">
        <f t="shared" ca="1" si="41"/>
        <v>#REF!</v>
      </c>
      <c r="AL65" s="546" t="e">
        <f t="shared" ca="1" si="42"/>
        <v>#REF!</v>
      </c>
    </row>
    <row r="66" spans="1:38" ht="12.75">
      <c r="A66" s="566">
        <v>739</v>
      </c>
      <c r="B66" s="529"/>
      <c r="C66" s="450"/>
      <c r="D66" s="547">
        <v>5</v>
      </c>
      <c r="E66" s="548" t="s">
        <v>340</v>
      </c>
      <c r="F66" s="444" t="e">
        <f t="shared" ca="1" si="28"/>
        <v>#REF!</v>
      </c>
      <c r="G66" s="549" t="e">
        <f t="shared" ca="1" si="29"/>
        <v>#REF!</v>
      </c>
      <c r="H66" s="550" t="str">
        <f t="shared" ca="1" si="30"/>
        <v>-</v>
      </c>
      <c r="I66" s="550" t="str">
        <f t="shared" ca="1" si="31"/>
        <v>-</v>
      </c>
      <c r="J66" s="551" t="e">
        <f t="shared" ca="1" si="32"/>
        <v>#REF!</v>
      </c>
      <c r="K66" s="549" t="e">
        <f t="shared" ca="1" si="33"/>
        <v>#REF!</v>
      </c>
      <c r="L66" s="552">
        <f>(SUMIF(Substrates!AY:AY,'X-Exchange'!U66,Substrates!BD:BD)+$L$108/$L$110)*T66</f>
        <v>0</v>
      </c>
      <c r="M66" s="537">
        <v>1</v>
      </c>
      <c r="N66" s="538" t="e">
        <f t="shared" ca="1" si="15"/>
        <v>#REF!</v>
      </c>
      <c r="O66" s="539" t="e">
        <f t="shared" ca="1" si="6"/>
        <v>#REF!</v>
      </c>
      <c r="P66" s="552"/>
      <c r="Q66" s="537">
        <v>1</v>
      </c>
      <c r="R66" s="538" t="e">
        <f t="shared" ca="1" si="16"/>
        <v>#REF!</v>
      </c>
      <c r="S66" s="553" t="e">
        <f t="shared" ca="1" si="7"/>
        <v>#REF!</v>
      </c>
      <c r="T66" s="500">
        <v>1</v>
      </c>
      <c r="U66" s="568" t="s">
        <v>901</v>
      </c>
      <c r="V66" s="554" t="str">
        <f t="shared" si="20"/>
        <v>entry in questionnaire</v>
      </c>
      <c r="W66" s="554" t="s">
        <v>1490</v>
      </c>
      <c r="X66" s="433">
        <v>1</v>
      </c>
      <c r="Y66" s="433">
        <v>1</v>
      </c>
      <c r="Z66" s="433">
        <v>1</v>
      </c>
      <c r="AA66" s="433">
        <v>1</v>
      </c>
      <c r="AB66" s="433">
        <v>1</v>
      </c>
      <c r="AC66" s="498" t="e">
        <f t="shared" ca="1" si="8"/>
        <v>#REF!</v>
      </c>
      <c r="AD66" s="542" t="e">
        <f t="shared" ca="1" si="34"/>
        <v>#REF!</v>
      </c>
      <c r="AE66" s="543" t="e">
        <f t="shared" ca="1" si="35"/>
        <v>#REF!</v>
      </c>
      <c r="AF66" s="544" t="e">
        <f t="shared" ca="1" si="36"/>
        <v>#REF!</v>
      </c>
      <c r="AG66" s="545" t="e">
        <f t="shared" ca="1" si="37"/>
        <v>#REF!</v>
      </c>
      <c r="AH66" s="546" t="e">
        <f t="shared" ca="1" si="38"/>
        <v>#REF!</v>
      </c>
      <c r="AI66" s="546" t="e">
        <f t="shared" ca="1" si="39"/>
        <v>#REF!</v>
      </c>
      <c r="AJ66" s="546" t="e">
        <f t="shared" ca="1" si="40"/>
        <v>#REF!</v>
      </c>
      <c r="AK66" s="546" t="e">
        <f t="shared" ca="1" si="41"/>
        <v>#REF!</v>
      </c>
      <c r="AL66" s="546" t="e">
        <f t="shared" ca="1" si="42"/>
        <v>#REF!</v>
      </c>
    </row>
    <row r="67" spans="1:38" ht="12.75">
      <c r="A67" s="567" t="s">
        <v>1456</v>
      </c>
      <c r="B67" s="529"/>
      <c r="C67" s="450"/>
      <c r="D67" s="547">
        <v>5</v>
      </c>
      <c r="E67" s="548" t="s">
        <v>340</v>
      </c>
      <c r="F67" s="444" t="e">
        <f t="shared" ca="1" si="28"/>
        <v>#REF!</v>
      </c>
      <c r="G67" s="549" t="e">
        <f t="shared" ca="1" si="29"/>
        <v>#REF!</v>
      </c>
      <c r="H67" s="550" t="str">
        <f t="shared" ca="1" si="30"/>
        <v>-</v>
      </c>
      <c r="I67" s="550" t="str">
        <f t="shared" ca="1" si="31"/>
        <v>-</v>
      </c>
      <c r="J67" s="551" t="e">
        <f t="shared" ca="1" si="32"/>
        <v>#REF!</v>
      </c>
      <c r="K67" s="549" t="e">
        <f t="shared" ca="1" si="33"/>
        <v>#REF!</v>
      </c>
      <c r="L67" s="552">
        <f>(SUMIF(Substrates!AY:AY,'X-Exchange'!U67,Substrates!BD:BD)+$L$108/$L$110)*T67</f>
        <v>0</v>
      </c>
      <c r="M67" s="537">
        <v>1</v>
      </c>
      <c r="N67" s="538" t="e">
        <f t="shared" ca="1" si="15"/>
        <v>#REF!</v>
      </c>
      <c r="O67" s="539" t="e">
        <f t="shared" ca="1" si="6"/>
        <v>#REF!</v>
      </c>
      <c r="P67" s="552"/>
      <c r="Q67" s="537">
        <v>1</v>
      </c>
      <c r="R67" s="538" t="e">
        <f t="shared" ca="1" si="16"/>
        <v>#REF!</v>
      </c>
      <c r="S67" s="553" t="e">
        <f t="shared" ca="1" si="7"/>
        <v>#REF!</v>
      </c>
      <c r="T67" s="500">
        <v>1</v>
      </c>
      <c r="U67" s="568" t="s">
        <v>902</v>
      </c>
      <c r="V67" s="554" t="str">
        <f t="shared" si="20"/>
        <v>entry in questionnaire</v>
      </c>
      <c r="W67" s="554" t="s">
        <v>1490</v>
      </c>
      <c r="X67" s="433">
        <v>1</v>
      </c>
      <c r="Y67" s="433">
        <v>1</v>
      </c>
      <c r="Z67" s="433">
        <v>1</v>
      </c>
      <c r="AA67" s="433">
        <v>1</v>
      </c>
      <c r="AB67" s="433">
        <v>1</v>
      </c>
      <c r="AC67" s="498" t="e">
        <f t="shared" ca="1" si="8"/>
        <v>#REF!</v>
      </c>
      <c r="AD67" s="542" t="e">
        <f t="shared" ca="1" si="34"/>
        <v>#REF!</v>
      </c>
      <c r="AE67" s="543" t="e">
        <f t="shared" ca="1" si="35"/>
        <v>#REF!</v>
      </c>
      <c r="AF67" s="544" t="e">
        <f t="shared" ca="1" si="36"/>
        <v>#REF!</v>
      </c>
      <c r="AG67" s="545" t="e">
        <f t="shared" ca="1" si="37"/>
        <v>#REF!</v>
      </c>
      <c r="AH67" s="546" t="e">
        <f t="shared" ca="1" si="38"/>
        <v>#REF!</v>
      </c>
      <c r="AI67" s="546" t="e">
        <f t="shared" ca="1" si="39"/>
        <v>#REF!</v>
      </c>
      <c r="AJ67" s="546" t="e">
        <f t="shared" ca="1" si="40"/>
        <v>#REF!</v>
      </c>
      <c r="AK67" s="546" t="e">
        <f t="shared" ca="1" si="41"/>
        <v>#REF!</v>
      </c>
      <c r="AL67" s="546" t="e">
        <f t="shared" ca="1" si="42"/>
        <v>#REF!</v>
      </c>
    </row>
    <row r="68" spans="1:38" ht="12.75">
      <c r="A68" s="563" t="s">
        <v>1457</v>
      </c>
      <c r="B68" s="529"/>
      <c r="C68" s="450"/>
      <c r="D68" s="547">
        <v>5</v>
      </c>
      <c r="E68" s="548" t="s">
        <v>340</v>
      </c>
      <c r="F68" s="444" t="e">
        <f t="shared" ca="1" si="28"/>
        <v>#REF!</v>
      </c>
      <c r="G68" s="549" t="e">
        <f t="shared" ca="1" si="29"/>
        <v>#REF!</v>
      </c>
      <c r="H68" s="550" t="str">
        <f t="shared" ca="1" si="30"/>
        <v>-</v>
      </c>
      <c r="I68" s="550" t="str">
        <f t="shared" ca="1" si="31"/>
        <v>-</v>
      </c>
      <c r="J68" s="551" t="e">
        <f t="shared" ca="1" si="32"/>
        <v>#REF!</v>
      </c>
      <c r="K68" s="549" t="e">
        <f t="shared" ca="1" si="33"/>
        <v>#REF!</v>
      </c>
      <c r="L68" s="552">
        <f>(SUMIF(Substrates!AY:AY,'X-Exchange'!U68,Substrates!BD:BD)+$L$108/$L$110)*T68</f>
        <v>0</v>
      </c>
      <c r="M68" s="537">
        <v>1</v>
      </c>
      <c r="N68" s="538" t="e">
        <f t="shared" ca="1" si="15"/>
        <v>#REF!</v>
      </c>
      <c r="O68" s="539" t="e">
        <f t="shared" ca="1" si="6"/>
        <v>#REF!</v>
      </c>
      <c r="P68" s="552"/>
      <c r="Q68" s="537">
        <v>1</v>
      </c>
      <c r="R68" s="538" t="e">
        <f t="shared" ca="1" si="16"/>
        <v>#REF!</v>
      </c>
      <c r="S68" s="553" t="e">
        <f t="shared" ca="1" si="7"/>
        <v>#REF!</v>
      </c>
      <c r="T68" s="500">
        <v>1</v>
      </c>
      <c r="U68" s="568" t="s">
        <v>903</v>
      </c>
      <c r="V68" s="554" t="str">
        <f t="shared" si="20"/>
        <v>entry in questionnaire</v>
      </c>
      <c r="W68" s="554" t="s">
        <v>1490</v>
      </c>
      <c r="X68" s="433">
        <v>1</v>
      </c>
      <c r="Y68" s="433">
        <v>1</v>
      </c>
      <c r="Z68" s="433">
        <v>1</v>
      </c>
      <c r="AA68" s="433">
        <v>1</v>
      </c>
      <c r="AB68" s="433">
        <v>1</v>
      </c>
      <c r="AC68" s="498" t="e">
        <f t="shared" ca="1" si="8"/>
        <v>#REF!</v>
      </c>
      <c r="AD68" s="542" t="e">
        <f t="shared" ca="1" si="34"/>
        <v>#REF!</v>
      </c>
      <c r="AE68" s="543" t="e">
        <f t="shared" ca="1" si="35"/>
        <v>#REF!</v>
      </c>
      <c r="AF68" s="544" t="e">
        <f t="shared" ca="1" si="36"/>
        <v>#REF!</v>
      </c>
      <c r="AG68" s="545" t="e">
        <f t="shared" ca="1" si="37"/>
        <v>#REF!</v>
      </c>
      <c r="AH68" s="546" t="e">
        <f t="shared" ca="1" si="38"/>
        <v>#REF!</v>
      </c>
      <c r="AI68" s="546" t="e">
        <f t="shared" ca="1" si="39"/>
        <v>#REF!</v>
      </c>
      <c r="AJ68" s="546" t="e">
        <f t="shared" ca="1" si="40"/>
        <v>#REF!</v>
      </c>
      <c r="AK68" s="546" t="e">
        <f t="shared" ca="1" si="41"/>
        <v>#REF!</v>
      </c>
      <c r="AL68" s="546" t="e">
        <f t="shared" ca="1" si="42"/>
        <v>#REF!</v>
      </c>
    </row>
    <row r="69" spans="1:38" ht="12.75">
      <c r="A69" s="567">
        <v>271</v>
      </c>
      <c r="B69" s="529"/>
      <c r="C69" s="450"/>
      <c r="D69" s="547">
        <v>5</v>
      </c>
      <c r="E69" s="548" t="s">
        <v>340</v>
      </c>
      <c r="F69" s="444" t="e">
        <f t="shared" ca="1" si="28"/>
        <v>#REF!</v>
      </c>
      <c r="G69" s="549" t="e">
        <f t="shared" ca="1" si="29"/>
        <v>#REF!</v>
      </c>
      <c r="H69" s="550" t="str">
        <f t="shared" ca="1" si="30"/>
        <v>-</v>
      </c>
      <c r="I69" s="550" t="str">
        <f t="shared" ca="1" si="31"/>
        <v>-</v>
      </c>
      <c r="J69" s="551" t="e">
        <f t="shared" ca="1" si="32"/>
        <v>#REF!</v>
      </c>
      <c r="K69" s="549" t="e">
        <f t="shared" ca="1" si="33"/>
        <v>#REF!</v>
      </c>
      <c r="L69" s="552">
        <f>(SUMIF(Substrates!AY:AY,'X-Exchange'!U69,Substrates!BD:BD)+$L$108/$L$110)*T69</f>
        <v>0</v>
      </c>
      <c r="M69" s="537">
        <v>1</v>
      </c>
      <c r="N69" s="538" t="e">
        <f t="shared" ca="1" si="15"/>
        <v>#REF!</v>
      </c>
      <c r="O69" s="539" t="e">
        <f t="shared" ca="1" si="6"/>
        <v>#REF!</v>
      </c>
      <c r="P69" s="552"/>
      <c r="Q69" s="537">
        <v>1</v>
      </c>
      <c r="R69" s="538" t="e">
        <f t="shared" ca="1" si="16"/>
        <v>#REF!</v>
      </c>
      <c r="S69" s="553" t="e">
        <f t="shared" ca="1" si="7"/>
        <v>#REF!</v>
      </c>
      <c r="T69" s="500">
        <v>1</v>
      </c>
      <c r="U69" s="568" t="s">
        <v>943</v>
      </c>
      <c r="V69" s="554" t="str">
        <f t="shared" si="20"/>
        <v>entry in questionnaire</v>
      </c>
      <c r="W69" s="554" t="s">
        <v>1490</v>
      </c>
      <c r="X69" s="433">
        <v>1</v>
      </c>
      <c r="Y69" s="433">
        <v>1</v>
      </c>
      <c r="Z69" s="433">
        <v>1</v>
      </c>
      <c r="AA69" s="433">
        <v>1</v>
      </c>
      <c r="AB69" s="433">
        <v>1</v>
      </c>
      <c r="AC69" s="498" t="e">
        <f t="shared" ca="1" si="8"/>
        <v>#REF!</v>
      </c>
      <c r="AD69" s="542" t="e">
        <f t="shared" ca="1" si="34"/>
        <v>#REF!</v>
      </c>
      <c r="AE69" s="543" t="e">
        <f t="shared" ca="1" si="35"/>
        <v>#REF!</v>
      </c>
      <c r="AF69" s="544" t="e">
        <f t="shared" ca="1" si="36"/>
        <v>#REF!</v>
      </c>
      <c r="AG69" s="545" t="e">
        <f t="shared" ca="1" si="37"/>
        <v>#REF!</v>
      </c>
      <c r="AH69" s="546" t="e">
        <f t="shared" ca="1" si="38"/>
        <v>#REF!</v>
      </c>
      <c r="AI69" s="546" t="e">
        <f t="shared" ca="1" si="39"/>
        <v>#REF!</v>
      </c>
      <c r="AJ69" s="546" t="e">
        <f t="shared" ca="1" si="40"/>
        <v>#REF!</v>
      </c>
      <c r="AK69" s="546" t="e">
        <f t="shared" ca="1" si="41"/>
        <v>#REF!</v>
      </c>
      <c r="AL69" s="546" t="e">
        <f t="shared" ca="1" si="42"/>
        <v>#REF!</v>
      </c>
    </row>
    <row r="70" spans="1:38" ht="12.75">
      <c r="A70" s="563" t="s">
        <v>1458</v>
      </c>
      <c r="B70" s="529"/>
      <c r="C70" s="450"/>
      <c r="D70" s="547">
        <v>5</v>
      </c>
      <c r="E70" s="548" t="s">
        <v>340</v>
      </c>
      <c r="F70" s="444" t="e">
        <f t="shared" ca="1" si="28"/>
        <v>#REF!</v>
      </c>
      <c r="G70" s="549" t="e">
        <f t="shared" ca="1" si="29"/>
        <v>#REF!</v>
      </c>
      <c r="H70" s="550" t="str">
        <f t="shared" ca="1" si="30"/>
        <v>-</v>
      </c>
      <c r="I70" s="550" t="str">
        <f t="shared" ca="1" si="31"/>
        <v>-</v>
      </c>
      <c r="J70" s="551" t="e">
        <f t="shared" ca="1" si="32"/>
        <v>#REF!</v>
      </c>
      <c r="K70" s="549" t="e">
        <f t="shared" ca="1" si="33"/>
        <v>#REF!</v>
      </c>
      <c r="L70" s="552">
        <f>(SUMIF(Substrates!AY:AY,'X-Exchange'!U70,Substrates!BD:BD)+$L$108/$L$110)*T70</f>
        <v>0</v>
      </c>
      <c r="M70" s="537">
        <v>1</v>
      </c>
      <c r="N70" s="538" t="e">
        <f t="shared" ca="1" si="15"/>
        <v>#REF!</v>
      </c>
      <c r="O70" s="539" t="e">
        <f t="shared" ca="1" si="6"/>
        <v>#REF!</v>
      </c>
      <c r="P70" s="552"/>
      <c r="Q70" s="537">
        <v>1</v>
      </c>
      <c r="R70" s="538" t="e">
        <f t="shared" ca="1" si="16"/>
        <v>#REF!</v>
      </c>
      <c r="S70" s="553" t="e">
        <f t="shared" ca="1" si="7"/>
        <v>#REF!</v>
      </c>
      <c r="T70" s="500">
        <v>1</v>
      </c>
      <c r="U70" s="568" t="s">
        <v>944</v>
      </c>
      <c r="V70" s="554" t="str">
        <f t="shared" si="20"/>
        <v>entry in questionnaire</v>
      </c>
      <c r="W70" s="554" t="s">
        <v>1490</v>
      </c>
      <c r="X70" s="433">
        <v>1</v>
      </c>
      <c r="Y70" s="433">
        <v>1</v>
      </c>
      <c r="Z70" s="433">
        <v>1</v>
      </c>
      <c r="AA70" s="433">
        <v>1</v>
      </c>
      <c r="AB70" s="433">
        <v>1</v>
      </c>
      <c r="AC70" s="498" t="e">
        <f t="shared" ca="1" si="8"/>
        <v>#REF!</v>
      </c>
      <c r="AD70" s="542" t="e">
        <f t="shared" ca="1" si="34"/>
        <v>#REF!</v>
      </c>
      <c r="AE70" s="543" t="e">
        <f t="shared" ca="1" si="35"/>
        <v>#REF!</v>
      </c>
      <c r="AF70" s="544" t="e">
        <f t="shared" ca="1" si="36"/>
        <v>#REF!</v>
      </c>
      <c r="AG70" s="545" t="e">
        <f t="shared" ca="1" si="37"/>
        <v>#REF!</v>
      </c>
      <c r="AH70" s="546" t="e">
        <f t="shared" ca="1" si="38"/>
        <v>#REF!</v>
      </c>
      <c r="AI70" s="546" t="e">
        <f t="shared" ca="1" si="39"/>
        <v>#REF!</v>
      </c>
      <c r="AJ70" s="546" t="e">
        <f t="shared" ca="1" si="40"/>
        <v>#REF!</v>
      </c>
      <c r="AK70" s="546" t="e">
        <f t="shared" ca="1" si="41"/>
        <v>#REF!</v>
      </c>
      <c r="AL70" s="546" t="e">
        <f t="shared" ca="1" si="42"/>
        <v>#REF!</v>
      </c>
    </row>
    <row r="71" spans="1:38" ht="12.75">
      <c r="A71" s="559" t="s">
        <v>1459</v>
      </c>
      <c r="B71" s="529"/>
      <c r="C71" s="450"/>
      <c r="D71" s="547">
        <v>5</v>
      </c>
      <c r="E71" s="548" t="s">
        <v>340</v>
      </c>
      <c r="F71" s="444" t="e">
        <f t="shared" ca="1" si="28"/>
        <v>#REF!</v>
      </c>
      <c r="G71" s="549" t="e">
        <f t="shared" ca="1" si="29"/>
        <v>#REF!</v>
      </c>
      <c r="H71" s="550" t="str">
        <f t="shared" ca="1" si="30"/>
        <v>-</v>
      </c>
      <c r="I71" s="550" t="str">
        <f t="shared" ca="1" si="31"/>
        <v>-</v>
      </c>
      <c r="J71" s="551" t="e">
        <f t="shared" ca="1" si="32"/>
        <v>#REF!</v>
      </c>
      <c r="K71" s="549" t="e">
        <f t="shared" ca="1" si="33"/>
        <v>#REF!</v>
      </c>
      <c r="L71" s="552"/>
      <c r="M71" s="537">
        <v>1</v>
      </c>
      <c r="N71" s="538" t="e">
        <f t="shared" ref="N71:N84" ca="1" si="44">$AF71</f>
        <v>#REF!</v>
      </c>
      <c r="O71" s="539" t="e">
        <f t="shared" ref="O71:O84" ca="1" si="45">$AG71&amp;"; "&amp;$V71&amp;"; "&amp;$W71</f>
        <v>#REF!</v>
      </c>
      <c r="P71" s="575">
        <f>Prüfwert!C8</f>
        <v>0</v>
      </c>
      <c r="Q71" s="537">
        <v>1</v>
      </c>
      <c r="R71" s="538" t="e">
        <f t="shared" ref="R71:R84" ca="1" si="46">$AF71</f>
        <v>#REF!</v>
      </c>
      <c r="S71" s="553" t="e">
        <f t="shared" ref="S71:S84" ca="1" si="47">$AG71&amp;"; "&amp;$V71&amp;"; "&amp;$W71</f>
        <v>#REF!</v>
      </c>
      <c r="U71" s="569" t="s">
        <v>59</v>
      </c>
      <c r="V71" s="554" t="str">
        <f t="shared" si="20"/>
        <v>entry in questionnaire</v>
      </c>
      <c r="W71" s="554" t="s">
        <v>688</v>
      </c>
      <c r="X71" s="433">
        <v>1</v>
      </c>
      <c r="Y71" s="433">
        <v>1</v>
      </c>
      <c r="Z71" s="433">
        <v>1</v>
      </c>
      <c r="AA71" s="433">
        <v>1</v>
      </c>
      <c r="AB71" s="433">
        <v>1</v>
      </c>
      <c r="AC71" s="498" t="e">
        <f t="shared" ref="AC71:AC84" ca="1" si="48">IF(OR($D71=4,$E71=4),INDEX(INDIRECT(names&amp;"NamesElementary'!$J:$J"),MATCH($A71,INDIRECT(names&amp;"NamesElementary'!$A:$A"),0),1),INDEX(INDIRECT(names&amp;"Names'!$W:$W"),MATCH($A71,INDIRECT(names&amp;"Names'!$F:$F"),0),1))</f>
        <v>#REF!</v>
      </c>
      <c r="AD71" s="542" t="e">
        <f t="shared" ca="1" si="34"/>
        <v>#REF!</v>
      </c>
      <c r="AE71" s="543" t="e">
        <f t="shared" ca="1" si="35"/>
        <v>#REF!</v>
      </c>
      <c r="AF71" s="544" t="e">
        <f t="shared" ca="1" si="36"/>
        <v>#REF!</v>
      </c>
      <c r="AG71" s="545" t="e">
        <f t="shared" ca="1" si="37"/>
        <v>#REF!</v>
      </c>
      <c r="AH71" s="546" t="e">
        <f t="shared" ca="1" si="38"/>
        <v>#REF!</v>
      </c>
      <c r="AI71" s="546" t="e">
        <f t="shared" ca="1" si="39"/>
        <v>#REF!</v>
      </c>
      <c r="AJ71" s="546" t="e">
        <f t="shared" ca="1" si="40"/>
        <v>#REF!</v>
      </c>
      <c r="AK71" s="546" t="e">
        <f t="shared" ca="1" si="41"/>
        <v>#REF!</v>
      </c>
      <c r="AL71" s="546" t="e">
        <f t="shared" ca="1" si="42"/>
        <v>#REF!</v>
      </c>
    </row>
    <row r="72" spans="1:38" ht="12.75">
      <c r="A72" s="559" t="s">
        <v>1459</v>
      </c>
      <c r="B72" s="529"/>
      <c r="C72" s="450"/>
      <c r="D72" s="547">
        <v>5</v>
      </c>
      <c r="E72" s="548" t="s">
        <v>340</v>
      </c>
      <c r="F72" s="444" t="e">
        <f t="shared" ca="1" si="28"/>
        <v>#REF!</v>
      </c>
      <c r="G72" s="549" t="e">
        <f t="shared" ca="1" si="29"/>
        <v>#REF!</v>
      </c>
      <c r="H72" s="550" t="str">
        <f t="shared" ca="1" si="30"/>
        <v>-</v>
      </c>
      <c r="I72" s="550" t="str">
        <f t="shared" ca="1" si="31"/>
        <v>-</v>
      </c>
      <c r="J72" s="551" t="e">
        <f t="shared" ca="1" si="32"/>
        <v>#REF!</v>
      </c>
      <c r="K72" s="549" t="e">
        <f t="shared" ca="1" si="33"/>
        <v>#REF!</v>
      </c>
      <c r="L72" s="552"/>
      <c r="M72" s="537">
        <v>1</v>
      </c>
      <c r="N72" s="538" t="e">
        <f t="shared" ca="1" si="44"/>
        <v>#REF!</v>
      </c>
      <c r="O72" s="539" t="e">
        <f t="shared" ca="1" si="45"/>
        <v>#REF!</v>
      </c>
      <c r="P72" s="575">
        <f>Prüfwert!D8</f>
        <v>0</v>
      </c>
      <c r="Q72" s="537">
        <v>1</v>
      </c>
      <c r="R72" s="538" t="e">
        <f t="shared" ca="1" si="46"/>
        <v>#REF!</v>
      </c>
      <c r="S72" s="553" t="e">
        <f t="shared" ca="1" si="47"/>
        <v>#REF!</v>
      </c>
      <c r="U72" s="569" t="s">
        <v>59</v>
      </c>
      <c r="V72" s="554" t="str">
        <f t="shared" si="20"/>
        <v>entry in questionnaire</v>
      </c>
      <c r="W72" s="554" t="s">
        <v>688</v>
      </c>
      <c r="X72" s="433">
        <v>1</v>
      </c>
      <c r="Y72" s="433">
        <v>1</v>
      </c>
      <c r="Z72" s="433">
        <v>1</v>
      </c>
      <c r="AA72" s="433">
        <v>1</v>
      </c>
      <c r="AB72" s="433">
        <v>1</v>
      </c>
      <c r="AC72" s="498" t="e">
        <f t="shared" ca="1" si="48"/>
        <v>#REF!</v>
      </c>
      <c r="AD72" s="542" t="e">
        <f t="shared" ca="1" si="34"/>
        <v>#REF!</v>
      </c>
      <c r="AE72" s="543" t="e">
        <f t="shared" ca="1" si="35"/>
        <v>#REF!</v>
      </c>
      <c r="AF72" s="544" t="e">
        <f t="shared" ca="1" si="36"/>
        <v>#REF!</v>
      </c>
      <c r="AG72" s="545" t="e">
        <f t="shared" ca="1" si="37"/>
        <v>#REF!</v>
      </c>
      <c r="AH72" s="546" t="e">
        <f t="shared" ca="1" si="38"/>
        <v>#REF!</v>
      </c>
      <c r="AI72" s="546" t="e">
        <f t="shared" ca="1" si="39"/>
        <v>#REF!</v>
      </c>
      <c r="AJ72" s="546" t="e">
        <f t="shared" ca="1" si="40"/>
        <v>#REF!</v>
      </c>
      <c r="AK72" s="546" t="e">
        <f t="shared" ca="1" si="41"/>
        <v>#REF!</v>
      </c>
      <c r="AL72" s="546" t="e">
        <f t="shared" ca="1" si="42"/>
        <v>#REF!</v>
      </c>
    </row>
    <row r="73" spans="1:38" ht="12.75">
      <c r="A73" s="559" t="s">
        <v>1460</v>
      </c>
      <c r="B73" s="529"/>
      <c r="C73" s="450"/>
      <c r="D73" s="547">
        <v>5</v>
      </c>
      <c r="E73" s="548" t="s">
        <v>340</v>
      </c>
      <c r="F73" s="444" t="e">
        <f t="shared" ca="1" si="28"/>
        <v>#REF!</v>
      </c>
      <c r="G73" s="549" t="e">
        <f t="shared" ca="1" si="29"/>
        <v>#REF!</v>
      </c>
      <c r="H73" s="550" t="str">
        <f t="shared" ca="1" si="30"/>
        <v>-</v>
      </c>
      <c r="I73" s="550" t="str">
        <f t="shared" ca="1" si="31"/>
        <v>-</v>
      </c>
      <c r="J73" s="551" t="e">
        <f t="shared" ca="1" si="32"/>
        <v>#REF!</v>
      </c>
      <c r="K73" s="549" t="e">
        <f t="shared" ca="1" si="33"/>
        <v>#REF!</v>
      </c>
      <c r="L73" s="552"/>
      <c r="M73" s="537">
        <v>1</v>
      </c>
      <c r="N73" s="538" t="e">
        <f t="shared" ca="1" si="44"/>
        <v>#REF!</v>
      </c>
      <c r="O73" s="539" t="e">
        <f t="shared" ca="1" si="45"/>
        <v>#REF!</v>
      </c>
      <c r="P73" s="552">
        <f>INDEX(Prüfwert!$1:$1048576,8,MATCH('X-Exchange'!$U73,Prüfwert!$16:$16,0))</f>
        <v>0</v>
      </c>
      <c r="Q73" s="537">
        <v>1</v>
      </c>
      <c r="R73" s="538" t="e">
        <f t="shared" ca="1" si="46"/>
        <v>#REF!</v>
      </c>
      <c r="S73" s="553" t="e">
        <f t="shared" ca="1" si="47"/>
        <v>#REF!</v>
      </c>
      <c r="U73" s="569" t="s">
        <v>60</v>
      </c>
      <c r="V73" s="554" t="str">
        <f t="shared" si="20"/>
        <v>entry in questionnaire</v>
      </c>
      <c r="W73" s="554" t="s">
        <v>688</v>
      </c>
      <c r="X73" s="433">
        <v>1</v>
      </c>
      <c r="Y73" s="433">
        <v>1</v>
      </c>
      <c r="Z73" s="433">
        <v>1</v>
      </c>
      <c r="AA73" s="433">
        <v>1</v>
      </c>
      <c r="AB73" s="433">
        <v>1</v>
      </c>
      <c r="AC73" s="498" t="e">
        <f t="shared" ca="1" si="48"/>
        <v>#REF!</v>
      </c>
      <c r="AD73" s="542" t="e">
        <f t="shared" ca="1" si="34"/>
        <v>#REF!</v>
      </c>
      <c r="AE73" s="543" t="e">
        <f t="shared" ca="1" si="35"/>
        <v>#REF!</v>
      </c>
      <c r="AF73" s="544" t="e">
        <f t="shared" ca="1" si="36"/>
        <v>#REF!</v>
      </c>
      <c r="AG73" s="545" t="e">
        <f t="shared" ca="1" si="37"/>
        <v>#REF!</v>
      </c>
      <c r="AH73" s="546" t="e">
        <f t="shared" ca="1" si="38"/>
        <v>#REF!</v>
      </c>
      <c r="AI73" s="546" t="e">
        <f t="shared" ca="1" si="39"/>
        <v>#REF!</v>
      </c>
      <c r="AJ73" s="546" t="e">
        <f t="shared" ca="1" si="40"/>
        <v>#REF!</v>
      </c>
      <c r="AK73" s="546" t="e">
        <f t="shared" ca="1" si="41"/>
        <v>#REF!</v>
      </c>
      <c r="AL73" s="546" t="e">
        <f t="shared" ca="1" si="42"/>
        <v>#REF!</v>
      </c>
    </row>
    <row r="74" spans="1:38" ht="12.75">
      <c r="A74" s="559" t="s">
        <v>1461</v>
      </c>
      <c r="B74" s="529"/>
      <c r="C74" s="450"/>
      <c r="D74" s="547">
        <v>5</v>
      </c>
      <c r="E74" s="548" t="s">
        <v>340</v>
      </c>
      <c r="F74" s="444" t="e">
        <f t="shared" ca="1" si="28"/>
        <v>#REF!</v>
      </c>
      <c r="G74" s="549" t="e">
        <f t="shared" ca="1" si="29"/>
        <v>#REF!</v>
      </c>
      <c r="H74" s="550" t="str">
        <f t="shared" ca="1" si="30"/>
        <v>-</v>
      </c>
      <c r="I74" s="550" t="str">
        <f t="shared" ca="1" si="31"/>
        <v>-</v>
      </c>
      <c r="J74" s="551" t="e">
        <f t="shared" ca="1" si="32"/>
        <v>#REF!</v>
      </c>
      <c r="K74" s="549" t="e">
        <f t="shared" ca="1" si="33"/>
        <v>#REF!</v>
      </c>
      <c r="L74" s="552"/>
      <c r="M74" s="537">
        <v>1</v>
      </c>
      <c r="N74" s="538" t="e">
        <f t="shared" ca="1" si="44"/>
        <v>#REF!</v>
      </c>
      <c r="O74" s="539" t="e">
        <f t="shared" ca="1" si="45"/>
        <v>#REF!</v>
      </c>
      <c r="P74" s="552">
        <f>INDEX(Prüfwert!$1:$1048576,8,MATCH('X-Exchange'!$U74,Prüfwert!$16:$16,0))</f>
        <v>0</v>
      </c>
      <c r="Q74" s="537">
        <v>1</v>
      </c>
      <c r="R74" s="538" t="e">
        <f t="shared" ca="1" si="46"/>
        <v>#REF!</v>
      </c>
      <c r="S74" s="553" t="e">
        <f t="shared" ca="1" si="47"/>
        <v>#REF!</v>
      </c>
      <c r="U74" s="569" t="s">
        <v>61</v>
      </c>
      <c r="V74" s="554" t="str">
        <f t="shared" si="20"/>
        <v>entry in questionnaire</v>
      </c>
      <c r="W74" s="554" t="s">
        <v>688</v>
      </c>
      <c r="X74" s="433">
        <v>1</v>
      </c>
      <c r="Y74" s="433">
        <v>1</v>
      </c>
      <c r="Z74" s="433">
        <v>1</v>
      </c>
      <c r="AA74" s="433">
        <v>1</v>
      </c>
      <c r="AB74" s="433">
        <v>1</v>
      </c>
      <c r="AC74" s="498" t="e">
        <f t="shared" ca="1" si="48"/>
        <v>#REF!</v>
      </c>
      <c r="AD74" s="542" t="e">
        <f t="shared" ca="1" si="34"/>
        <v>#REF!</v>
      </c>
      <c r="AE74" s="543" t="e">
        <f t="shared" ca="1" si="35"/>
        <v>#REF!</v>
      </c>
      <c r="AF74" s="544" t="e">
        <f t="shared" ca="1" si="36"/>
        <v>#REF!</v>
      </c>
      <c r="AG74" s="545" t="e">
        <f t="shared" ca="1" si="37"/>
        <v>#REF!</v>
      </c>
      <c r="AH74" s="546" t="e">
        <f t="shared" ca="1" si="38"/>
        <v>#REF!</v>
      </c>
      <c r="AI74" s="546" t="e">
        <f t="shared" ca="1" si="39"/>
        <v>#REF!</v>
      </c>
      <c r="AJ74" s="546" t="e">
        <f t="shared" ca="1" si="40"/>
        <v>#REF!</v>
      </c>
      <c r="AK74" s="546" t="e">
        <f t="shared" ca="1" si="41"/>
        <v>#REF!</v>
      </c>
      <c r="AL74" s="546" t="e">
        <f t="shared" ca="1" si="42"/>
        <v>#REF!</v>
      </c>
    </row>
    <row r="75" spans="1:38" ht="12.75">
      <c r="A75" s="559" t="s">
        <v>1462</v>
      </c>
      <c r="B75" s="529"/>
      <c r="C75" s="450"/>
      <c r="D75" s="547">
        <v>5</v>
      </c>
      <c r="E75" s="548" t="s">
        <v>340</v>
      </c>
      <c r="F75" s="444" t="e">
        <f t="shared" ca="1" si="28"/>
        <v>#REF!</v>
      </c>
      <c r="G75" s="549" t="e">
        <f t="shared" ca="1" si="29"/>
        <v>#REF!</v>
      </c>
      <c r="H75" s="550" t="str">
        <f t="shared" ca="1" si="30"/>
        <v>-</v>
      </c>
      <c r="I75" s="550" t="str">
        <f t="shared" ca="1" si="31"/>
        <v>-</v>
      </c>
      <c r="J75" s="551" t="e">
        <f t="shared" ca="1" si="32"/>
        <v>#REF!</v>
      </c>
      <c r="K75" s="549" t="e">
        <f t="shared" ca="1" si="33"/>
        <v>#REF!</v>
      </c>
      <c r="L75" s="552"/>
      <c r="M75" s="537">
        <v>1</v>
      </c>
      <c r="N75" s="538" t="e">
        <f t="shared" ca="1" si="44"/>
        <v>#REF!</v>
      </c>
      <c r="O75" s="539" t="e">
        <f t="shared" ca="1" si="45"/>
        <v>#REF!</v>
      </c>
      <c r="P75" s="552">
        <f>INDEX(Prüfwert!$1:$1048576,8,MATCH('X-Exchange'!$U75,Prüfwert!$16:$16,0))</f>
        <v>0</v>
      </c>
      <c r="Q75" s="537">
        <v>1</v>
      </c>
      <c r="R75" s="538" t="e">
        <f t="shared" ca="1" si="46"/>
        <v>#REF!</v>
      </c>
      <c r="S75" s="553" t="e">
        <f t="shared" ca="1" si="47"/>
        <v>#REF!</v>
      </c>
      <c r="U75" s="569" t="s">
        <v>62</v>
      </c>
      <c r="V75" s="554" t="str">
        <f t="shared" ref="V75:V106" si="49">$V$9</f>
        <v>entry in questionnaire</v>
      </c>
      <c r="W75" s="554" t="s">
        <v>688</v>
      </c>
      <c r="X75" s="433">
        <v>1</v>
      </c>
      <c r="Y75" s="433">
        <v>1</v>
      </c>
      <c r="Z75" s="433">
        <v>1</v>
      </c>
      <c r="AA75" s="433">
        <v>1</v>
      </c>
      <c r="AB75" s="433">
        <v>1</v>
      </c>
      <c r="AC75" s="498" t="e">
        <f t="shared" ca="1" si="48"/>
        <v>#REF!</v>
      </c>
      <c r="AD75" s="542" t="e">
        <f t="shared" ca="1" si="34"/>
        <v>#REF!</v>
      </c>
      <c r="AE75" s="543" t="e">
        <f t="shared" ca="1" si="35"/>
        <v>#REF!</v>
      </c>
      <c r="AF75" s="544" t="e">
        <f t="shared" ca="1" si="36"/>
        <v>#REF!</v>
      </c>
      <c r="AG75" s="545" t="e">
        <f t="shared" ca="1" si="37"/>
        <v>#REF!</v>
      </c>
      <c r="AH75" s="546" t="e">
        <f t="shared" ca="1" si="38"/>
        <v>#REF!</v>
      </c>
      <c r="AI75" s="546" t="e">
        <f t="shared" ca="1" si="39"/>
        <v>#REF!</v>
      </c>
      <c r="AJ75" s="546" t="e">
        <f t="shared" ca="1" si="40"/>
        <v>#REF!</v>
      </c>
      <c r="AK75" s="546" t="e">
        <f t="shared" ca="1" si="41"/>
        <v>#REF!</v>
      </c>
      <c r="AL75" s="546" t="e">
        <f t="shared" ca="1" si="42"/>
        <v>#REF!</v>
      </c>
    </row>
    <row r="76" spans="1:38" ht="12.75">
      <c r="A76" s="559" t="s">
        <v>1463</v>
      </c>
      <c r="B76" s="529"/>
      <c r="C76" s="450"/>
      <c r="D76" s="547">
        <v>5</v>
      </c>
      <c r="E76" s="548" t="s">
        <v>340</v>
      </c>
      <c r="F76" s="444" t="e">
        <f t="shared" ca="1" si="28"/>
        <v>#REF!</v>
      </c>
      <c r="G76" s="549" t="e">
        <f t="shared" ca="1" si="29"/>
        <v>#REF!</v>
      </c>
      <c r="H76" s="550" t="str">
        <f t="shared" ca="1" si="30"/>
        <v>-</v>
      </c>
      <c r="I76" s="550" t="str">
        <f t="shared" ca="1" si="31"/>
        <v>-</v>
      </c>
      <c r="J76" s="551" t="e">
        <f t="shared" ca="1" si="32"/>
        <v>#REF!</v>
      </c>
      <c r="K76" s="549" t="e">
        <f t="shared" ca="1" si="33"/>
        <v>#REF!</v>
      </c>
      <c r="L76" s="552"/>
      <c r="M76" s="537">
        <v>1</v>
      </c>
      <c r="N76" s="538" t="e">
        <f t="shared" ca="1" si="44"/>
        <v>#REF!</v>
      </c>
      <c r="O76" s="539" t="e">
        <f t="shared" ca="1" si="45"/>
        <v>#REF!</v>
      </c>
      <c r="P76" s="552">
        <f>INDEX(Prüfwert!$1:$1048576,8,MATCH('X-Exchange'!$U76,Prüfwert!$16:$16,0))</f>
        <v>0</v>
      </c>
      <c r="Q76" s="537">
        <v>1</v>
      </c>
      <c r="R76" s="538" t="e">
        <f t="shared" ca="1" si="46"/>
        <v>#REF!</v>
      </c>
      <c r="S76" s="553" t="e">
        <f t="shared" ca="1" si="47"/>
        <v>#REF!</v>
      </c>
      <c r="U76" s="569" t="s">
        <v>63</v>
      </c>
      <c r="V76" s="554" t="str">
        <f t="shared" si="49"/>
        <v>entry in questionnaire</v>
      </c>
      <c r="W76" s="554" t="s">
        <v>688</v>
      </c>
      <c r="X76" s="433">
        <v>1</v>
      </c>
      <c r="Y76" s="433">
        <v>1</v>
      </c>
      <c r="Z76" s="433">
        <v>1</v>
      </c>
      <c r="AA76" s="433">
        <v>1</v>
      </c>
      <c r="AB76" s="433">
        <v>1</v>
      </c>
      <c r="AC76" s="498" t="e">
        <f t="shared" ca="1" si="48"/>
        <v>#REF!</v>
      </c>
      <c r="AD76" s="542" t="e">
        <f t="shared" ca="1" si="34"/>
        <v>#REF!</v>
      </c>
      <c r="AE76" s="543" t="e">
        <f t="shared" ca="1" si="35"/>
        <v>#REF!</v>
      </c>
      <c r="AF76" s="544" t="e">
        <f t="shared" ca="1" si="36"/>
        <v>#REF!</v>
      </c>
      <c r="AG76" s="545" t="e">
        <f t="shared" ca="1" si="37"/>
        <v>#REF!</v>
      </c>
      <c r="AH76" s="546" t="e">
        <f t="shared" ca="1" si="38"/>
        <v>#REF!</v>
      </c>
      <c r="AI76" s="546" t="e">
        <f t="shared" ca="1" si="39"/>
        <v>#REF!</v>
      </c>
      <c r="AJ76" s="546" t="e">
        <f t="shared" ca="1" si="40"/>
        <v>#REF!</v>
      </c>
      <c r="AK76" s="546" t="e">
        <f t="shared" ca="1" si="41"/>
        <v>#REF!</v>
      </c>
      <c r="AL76" s="546" t="e">
        <f t="shared" ca="1" si="42"/>
        <v>#REF!</v>
      </c>
    </row>
    <row r="77" spans="1:38" ht="12.75">
      <c r="A77" s="559" t="s">
        <v>1464</v>
      </c>
      <c r="B77" s="529"/>
      <c r="C77" s="450"/>
      <c r="D77" s="547">
        <v>5</v>
      </c>
      <c r="E77" s="548" t="s">
        <v>340</v>
      </c>
      <c r="F77" s="444" t="e">
        <f t="shared" ca="1" si="28"/>
        <v>#REF!</v>
      </c>
      <c r="G77" s="549" t="e">
        <f t="shared" ca="1" si="29"/>
        <v>#REF!</v>
      </c>
      <c r="H77" s="550" t="str">
        <f t="shared" ca="1" si="30"/>
        <v>-</v>
      </c>
      <c r="I77" s="550" t="str">
        <f t="shared" ca="1" si="31"/>
        <v>-</v>
      </c>
      <c r="J77" s="551" t="e">
        <f t="shared" ca="1" si="32"/>
        <v>#REF!</v>
      </c>
      <c r="K77" s="549" t="e">
        <f t="shared" ca="1" si="33"/>
        <v>#REF!</v>
      </c>
      <c r="L77" s="552"/>
      <c r="M77" s="537">
        <v>1</v>
      </c>
      <c r="N77" s="538" t="e">
        <f t="shared" ca="1" si="44"/>
        <v>#REF!</v>
      </c>
      <c r="O77" s="539" t="e">
        <f t="shared" ca="1" si="45"/>
        <v>#REF!</v>
      </c>
      <c r="P77" s="552" t="e">
        <f>INDEX(Prüfwert!$1:$1048576,8,MATCH('X-Exchange'!$U77,Prüfwert!$16:$16,0))</f>
        <v>#N/A</v>
      </c>
      <c r="Q77" s="537">
        <v>1</v>
      </c>
      <c r="R77" s="538" t="e">
        <f t="shared" ca="1" si="46"/>
        <v>#REF!</v>
      </c>
      <c r="S77" s="553" t="e">
        <f t="shared" ca="1" si="47"/>
        <v>#REF!</v>
      </c>
      <c r="U77" s="569" t="s">
        <v>283</v>
      </c>
      <c r="V77" s="554" t="str">
        <f t="shared" si="49"/>
        <v>entry in questionnaire</v>
      </c>
      <c r="W77" s="554" t="s">
        <v>688</v>
      </c>
      <c r="X77" s="433">
        <v>1</v>
      </c>
      <c r="Y77" s="433">
        <v>1</v>
      </c>
      <c r="Z77" s="433">
        <v>1</v>
      </c>
      <c r="AA77" s="433">
        <v>1</v>
      </c>
      <c r="AB77" s="433">
        <v>1</v>
      </c>
      <c r="AC77" s="498" t="e">
        <f t="shared" ca="1" si="48"/>
        <v>#REF!</v>
      </c>
      <c r="AD77" s="542" t="e">
        <f t="shared" ca="1" si="34"/>
        <v>#REF!</v>
      </c>
      <c r="AE77" s="543" t="e">
        <f t="shared" ca="1" si="35"/>
        <v>#REF!</v>
      </c>
      <c r="AF77" s="544" t="e">
        <f t="shared" ca="1" si="36"/>
        <v>#REF!</v>
      </c>
      <c r="AG77" s="545" t="e">
        <f t="shared" ca="1" si="37"/>
        <v>#REF!</v>
      </c>
      <c r="AH77" s="546" t="e">
        <f t="shared" ca="1" si="38"/>
        <v>#REF!</v>
      </c>
      <c r="AI77" s="546" t="e">
        <f t="shared" ca="1" si="39"/>
        <v>#REF!</v>
      </c>
      <c r="AJ77" s="546" t="e">
        <f t="shared" ca="1" si="40"/>
        <v>#REF!</v>
      </c>
      <c r="AK77" s="546" t="e">
        <f t="shared" ca="1" si="41"/>
        <v>#REF!</v>
      </c>
      <c r="AL77" s="546" t="e">
        <f t="shared" ca="1" si="42"/>
        <v>#REF!</v>
      </c>
    </row>
    <row r="78" spans="1:38" ht="12.75">
      <c r="A78" s="559" t="s">
        <v>1465</v>
      </c>
      <c r="B78" s="529"/>
      <c r="C78" s="450"/>
      <c r="D78" s="547">
        <v>5</v>
      </c>
      <c r="E78" s="548" t="s">
        <v>340</v>
      </c>
      <c r="F78" s="444" t="e">
        <f t="shared" ca="1" si="28"/>
        <v>#REF!</v>
      </c>
      <c r="G78" s="549" t="e">
        <f t="shared" ca="1" si="29"/>
        <v>#REF!</v>
      </c>
      <c r="H78" s="550" t="str">
        <f t="shared" ca="1" si="30"/>
        <v>-</v>
      </c>
      <c r="I78" s="550" t="str">
        <f t="shared" ca="1" si="31"/>
        <v>-</v>
      </c>
      <c r="J78" s="551" t="e">
        <f t="shared" ca="1" si="32"/>
        <v>#REF!</v>
      </c>
      <c r="K78" s="549" t="e">
        <f t="shared" ca="1" si="33"/>
        <v>#REF!</v>
      </c>
      <c r="L78" s="552"/>
      <c r="M78" s="537">
        <v>1</v>
      </c>
      <c r="N78" s="538" t="e">
        <f t="shared" ca="1" si="44"/>
        <v>#REF!</v>
      </c>
      <c r="O78" s="539" t="e">
        <f t="shared" ca="1" si="45"/>
        <v>#REF!</v>
      </c>
      <c r="P78" s="552" t="e">
        <f>INDEX(Prüfwert!$1:$1048576,8,MATCH('X-Exchange'!$U78,Prüfwert!$16:$16,0))</f>
        <v>#N/A</v>
      </c>
      <c r="Q78" s="537">
        <v>1</v>
      </c>
      <c r="R78" s="538" t="e">
        <f t="shared" ca="1" si="46"/>
        <v>#REF!</v>
      </c>
      <c r="S78" s="553" t="e">
        <f t="shared" ca="1" si="47"/>
        <v>#REF!</v>
      </c>
      <c r="U78" s="569" t="s">
        <v>284</v>
      </c>
      <c r="V78" s="554" t="str">
        <f t="shared" si="49"/>
        <v>entry in questionnaire</v>
      </c>
      <c r="W78" s="554" t="s">
        <v>688</v>
      </c>
      <c r="X78" s="433">
        <v>1</v>
      </c>
      <c r="Y78" s="433">
        <v>1</v>
      </c>
      <c r="Z78" s="433">
        <v>1</v>
      </c>
      <c r="AA78" s="433">
        <v>1</v>
      </c>
      <c r="AB78" s="433">
        <v>1</v>
      </c>
      <c r="AC78" s="498" t="e">
        <f t="shared" ca="1" si="48"/>
        <v>#REF!</v>
      </c>
      <c r="AD78" s="542" t="e">
        <f t="shared" ca="1" si="34"/>
        <v>#REF!</v>
      </c>
      <c r="AE78" s="543" t="e">
        <f t="shared" ca="1" si="35"/>
        <v>#REF!</v>
      </c>
      <c r="AF78" s="544" t="e">
        <f t="shared" ca="1" si="36"/>
        <v>#REF!</v>
      </c>
      <c r="AG78" s="545" t="e">
        <f t="shared" ca="1" si="37"/>
        <v>#REF!</v>
      </c>
      <c r="AH78" s="546" t="e">
        <f t="shared" ca="1" si="38"/>
        <v>#REF!</v>
      </c>
      <c r="AI78" s="546" t="e">
        <f t="shared" ca="1" si="39"/>
        <v>#REF!</v>
      </c>
      <c r="AJ78" s="546" t="e">
        <f t="shared" ca="1" si="40"/>
        <v>#REF!</v>
      </c>
      <c r="AK78" s="546" t="e">
        <f t="shared" ca="1" si="41"/>
        <v>#REF!</v>
      </c>
      <c r="AL78" s="546" t="e">
        <f t="shared" ca="1" si="42"/>
        <v>#REF!</v>
      </c>
    </row>
    <row r="79" spans="1:38" ht="12.75">
      <c r="A79" s="559" t="s">
        <v>1466</v>
      </c>
      <c r="B79" s="529"/>
      <c r="C79" s="450"/>
      <c r="D79" s="547">
        <v>5</v>
      </c>
      <c r="E79" s="548" t="s">
        <v>340</v>
      </c>
      <c r="F79" s="444" t="e">
        <f t="shared" ca="1" si="28"/>
        <v>#REF!</v>
      </c>
      <c r="G79" s="549" t="e">
        <f t="shared" ca="1" si="29"/>
        <v>#REF!</v>
      </c>
      <c r="H79" s="550" t="str">
        <f t="shared" ca="1" si="30"/>
        <v>-</v>
      </c>
      <c r="I79" s="550" t="str">
        <f t="shared" ca="1" si="31"/>
        <v>-</v>
      </c>
      <c r="J79" s="551" t="e">
        <f t="shared" ca="1" si="32"/>
        <v>#REF!</v>
      </c>
      <c r="K79" s="549" t="e">
        <f t="shared" ca="1" si="33"/>
        <v>#REF!</v>
      </c>
      <c r="L79" s="552"/>
      <c r="M79" s="537">
        <v>1</v>
      </c>
      <c r="N79" s="538" t="e">
        <f t="shared" ca="1" si="44"/>
        <v>#REF!</v>
      </c>
      <c r="O79" s="539" t="e">
        <f t="shared" ca="1" si="45"/>
        <v>#REF!</v>
      </c>
      <c r="P79" s="552" t="e">
        <f>INDEX(Prüfwert!$1:$1048576,8,MATCH('X-Exchange'!$U79,Prüfwert!$16:$16,0))</f>
        <v>#N/A</v>
      </c>
      <c r="Q79" s="537">
        <v>1</v>
      </c>
      <c r="R79" s="538" t="e">
        <f t="shared" ca="1" si="46"/>
        <v>#REF!</v>
      </c>
      <c r="S79" s="553" t="e">
        <f t="shared" ca="1" si="47"/>
        <v>#REF!</v>
      </c>
      <c r="U79" s="569" t="s">
        <v>64</v>
      </c>
      <c r="V79" s="554" t="str">
        <f t="shared" si="49"/>
        <v>entry in questionnaire</v>
      </c>
      <c r="W79" s="554" t="s">
        <v>688</v>
      </c>
      <c r="X79" s="433">
        <v>1</v>
      </c>
      <c r="Y79" s="433">
        <v>1</v>
      </c>
      <c r="Z79" s="433">
        <v>1</v>
      </c>
      <c r="AA79" s="433">
        <v>1</v>
      </c>
      <c r="AB79" s="433">
        <v>1</v>
      </c>
      <c r="AC79" s="498" t="e">
        <f t="shared" ca="1" si="48"/>
        <v>#REF!</v>
      </c>
      <c r="AD79" s="542" t="e">
        <f t="shared" ca="1" si="34"/>
        <v>#REF!</v>
      </c>
      <c r="AE79" s="543" t="e">
        <f t="shared" ca="1" si="35"/>
        <v>#REF!</v>
      </c>
      <c r="AF79" s="544" t="e">
        <f t="shared" ca="1" si="36"/>
        <v>#REF!</v>
      </c>
      <c r="AG79" s="545" t="e">
        <f t="shared" ca="1" si="37"/>
        <v>#REF!</v>
      </c>
      <c r="AH79" s="546" t="e">
        <f t="shared" ca="1" si="38"/>
        <v>#REF!</v>
      </c>
      <c r="AI79" s="546" t="e">
        <f t="shared" ca="1" si="39"/>
        <v>#REF!</v>
      </c>
      <c r="AJ79" s="546" t="e">
        <f t="shared" ca="1" si="40"/>
        <v>#REF!</v>
      </c>
      <c r="AK79" s="546" t="e">
        <f t="shared" ca="1" si="41"/>
        <v>#REF!</v>
      </c>
      <c r="AL79" s="546" t="e">
        <f t="shared" ca="1" si="42"/>
        <v>#REF!</v>
      </c>
    </row>
    <row r="80" spans="1:38" ht="12.75">
      <c r="A80" s="559" t="s">
        <v>1467</v>
      </c>
      <c r="B80" s="529"/>
      <c r="C80" s="450"/>
      <c r="D80" s="547">
        <v>5</v>
      </c>
      <c r="E80" s="548" t="s">
        <v>340</v>
      </c>
      <c r="F80" s="444" t="e">
        <f t="shared" ref="F80:F86" ca="1" si="50">IF(OR(D80=4,E80=4),INDEX(INDIRECT(names&amp;"NamesElementary'!$1:$65536"),MATCH(A80,INDIRECT(names&amp;"NamesElementary'!$A:$A"),0),2),INDEX(INDIRECT(names&amp;"Names'!$1:$65536"),MATCH(A80,INDIRECT(names&amp;"Names'!$F:$F"),0),10))</f>
        <v>#REF!</v>
      </c>
      <c r="G80" s="549" t="e">
        <f t="shared" ref="G80:G86" ca="1" si="51">IF(OR(D80=4,E80=4),"-",INDEX(INDIRECT(names&amp;"Names'!$1:$65536"),MATCH(A80,INDIRECT(names&amp;"Names'!$F:$F"),0),11))</f>
        <v>#REF!</v>
      </c>
      <c r="H80" s="550" t="str">
        <f t="shared" ref="H80:H86" ca="1" si="52">IF(OR(D80=4,E80=4),INDEX(INDIRECT(names&amp;"NamesElementary'!$1:$65536"),MATCH($A80,INDIRECT(names&amp;"NamesElementary'!$A:$A"),0),4),"-")</f>
        <v>-</v>
      </c>
      <c r="I80" s="550" t="str">
        <f t="shared" ref="I80:I86" ca="1" si="53">IF(OR(D80=4,E80=4),INDEX(INDIRECT(names&amp;"NamesElementary'!$1:$65536"),MATCH($A80,INDIRECT(names&amp;"NamesElementary'!$A:$A"),0),5),"-")</f>
        <v>-</v>
      </c>
      <c r="J80" s="551" t="e">
        <f t="shared" ref="J80:J86" ca="1" si="54">IF(OR(D80=4,E80=4),"-",INDEX(INDIRECT(names&amp;"Names'!$1:$65536"),MATCH(A80,INDIRECT(names&amp;"Names'!$F:$F"),0),14))</f>
        <v>#REF!</v>
      </c>
      <c r="K80" s="549" t="e">
        <f t="shared" ref="K80:K86" ca="1" si="55">IF(OR(D80=4,E80=4),INDEX(INDIRECT(names&amp;"NamesElementary'!$1:$65536"),MATCH(A80,INDIRECT(names&amp;"NamesElementary'!$A:$A"),0),7),INDEX(INDIRECT(names&amp;"Names'!$1:$65536"),MATCH(A80,INDIRECT(names&amp;"Names'!$F:$F"),0),15))</f>
        <v>#REF!</v>
      </c>
      <c r="L80" s="552"/>
      <c r="M80" s="537">
        <v>1</v>
      </c>
      <c r="N80" s="538" t="e">
        <f t="shared" ca="1" si="44"/>
        <v>#REF!</v>
      </c>
      <c r="O80" s="539" t="e">
        <f t="shared" ca="1" si="45"/>
        <v>#REF!</v>
      </c>
      <c r="P80" s="552">
        <f>INDEX(Prüfwert!$1:$1048576,8,MATCH('X-Exchange'!$U80,Prüfwert!$16:$16,0))</f>
        <v>0</v>
      </c>
      <c r="Q80" s="537">
        <v>1</v>
      </c>
      <c r="R80" s="538" t="e">
        <f t="shared" ca="1" si="46"/>
        <v>#REF!</v>
      </c>
      <c r="S80" s="553" t="e">
        <f t="shared" ca="1" si="47"/>
        <v>#REF!</v>
      </c>
      <c r="U80" s="569" t="s">
        <v>285</v>
      </c>
      <c r="V80" s="554" t="str">
        <f t="shared" si="49"/>
        <v>entry in questionnaire</v>
      </c>
      <c r="W80" s="554" t="s">
        <v>688</v>
      </c>
      <c r="X80" s="433">
        <v>1</v>
      </c>
      <c r="Y80" s="433">
        <v>1</v>
      </c>
      <c r="Z80" s="433">
        <v>1</v>
      </c>
      <c r="AA80" s="433">
        <v>1</v>
      </c>
      <c r="AB80" s="433">
        <v>1</v>
      </c>
      <c r="AC80" s="498" t="e">
        <f t="shared" ca="1" si="48"/>
        <v>#REF!</v>
      </c>
      <c r="AD80" s="542" t="e">
        <f t="shared" ref="AD80:AD86" ca="1" si="56">INDEX(INDIRECT(names&amp;"BasicUncertainty'!$1:$65536"),MATCH(AC80,INDIRECT(names&amp;"BasicUncertainty'!B:B"),0),8)</f>
        <v>#REF!</v>
      </c>
      <c r="AE80" s="543" t="e">
        <f t="shared" ref="AE80:AE86" ca="1" si="57">EXP(SQRT((LN(AH80)^2)+(LN(AI80)^2)+(LN(AJ80)^2)+(LN(AK80)^2)+(LN(AL80)^2)))</f>
        <v>#REF!</v>
      </c>
      <c r="AF80" s="544" t="e">
        <f t="shared" ref="AF80:AF86" ca="1" si="58">EXP(SQRT((LN(AH80)^2)+(LN(AI80)^2)+(LN(AJ80)^2)+(LN(AK80)^2)+(LN(AL80)^2)+(LN(AD80)^2)))</f>
        <v>#REF!</v>
      </c>
      <c r="AG80" s="545" t="e">
        <f t="shared" ref="AG80:AG86" ca="1" si="59">CONCATENATE("(",X80,",",Y80,",",Z80,",",AA80,",",AB80,",BU:",AD80,")")</f>
        <v>#REF!</v>
      </c>
      <c r="AH80" s="546" t="e">
        <f t="shared" ref="AH80:AH86" ca="1" si="60">IF(X80=1,INDIRECT(names&amp;"SDG^2 values'!$B$4"),IF(X80=2,INDIRECT(names&amp;"SDG^2 values'!$C$4"),IF(X80=3,INDIRECT(names&amp;"SDG^2 values'!$D$4"),IF(X80=4,INDIRECT(names&amp;"SDG^2 values'!$E$4"),IF(X80=5,INDIRECT(names&amp;"SDG^2 values'!$F$4"),1)))))</f>
        <v>#REF!</v>
      </c>
      <c r="AI80" s="546" t="e">
        <f t="shared" ref="AI80:AI86" ca="1" si="61">IF(Y80=1,INDIRECT(names&amp;"SDG^2 values'!$B$5"),IF(Y80=2,INDIRECT(names&amp;"SDG^2 values'!$C$5"),IF(Y80=3,INDIRECT(names&amp;"SDG^2 values'!$D$5"),IF(Y80=4,INDIRECT(names&amp;"SDG^2 values'!$E$5"),IF(Y80=5,INDIRECT(names&amp;"SDG^2 values'!$F$5"),1)))))</f>
        <v>#REF!</v>
      </c>
      <c r="AJ80" s="546" t="e">
        <f t="shared" ref="AJ80:AJ86" ca="1" si="62">IF(Z80=1,INDIRECT(names&amp;"SDG^2 values'!$B$6"),IF(Z80=2,INDIRECT(names&amp;"SDG^2 values'!$C$6"),IF(Z80=3,INDIRECT(names&amp;"SDG^2 values'!$D$6"),IF(Z80=4,INDIRECT(names&amp;"SDG^2 values'!$E$6"),IF(Z80=5,INDIRECT(names&amp;"SDG^2 values'!$F$6"),1)))))</f>
        <v>#REF!</v>
      </c>
      <c r="AK80" s="546" t="e">
        <f t="shared" ref="AK80:AK86" ca="1" si="63">IF(AA80=1,INDIRECT(names&amp;"SDG^2 values'!$B$7"),IF(AA80=2,INDIRECT(names&amp;"SDG^2 values'!$C$7"),IF(AA80=3,INDIRECT(names&amp;"SDG^2 values'!$D$7"),IF(AA80=4,INDIRECT(names&amp;"SDG^2 values'!$E$7"),IF(AA80=5,INDIRECT(names&amp;"SDG^2 values'!$F$7"),1)))))</f>
        <v>#REF!</v>
      </c>
      <c r="AL80" s="546" t="e">
        <f t="shared" ref="AL80:AL86" ca="1" si="64">IF(AB80=1,INDIRECT(names&amp;"SDG^2 values'!$B$8"),IF(AB80=2,INDIRECT(names&amp;"SDG^2 values'!$C$8"),IF(AB80=3,INDIRECT(names&amp;"SDG^2 values'!$D$8"),IF(AB80=4,INDIRECT(names&amp;"SDG^2 values'!$E$8"),IF(AB80=5,INDIRECT(names&amp;"SDG^2 values'!$F$8"),1)))))</f>
        <v>#REF!</v>
      </c>
    </row>
    <row r="81" spans="1:38" ht="12.75">
      <c r="A81" s="559" t="s">
        <v>1468</v>
      </c>
      <c r="B81" s="529"/>
      <c r="C81" s="450"/>
      <c r="D81" s="547">
        <v>5</v>
      </c>
      <c r="E81" s="548" t="s">
        <v>340</v>
      </c>
      <c r="F81" s="444" t="e">
        <f t="shared" ca="1" si="50"/>
        <v>#REF!</v>
      </c>
      <c r="G81" s="549" t="e">
        <f t="shared" ca="1" si="51"/>
        <v>#REF!</v>
      </c>
      <c r="H81" s="550" t="str">
        <f t="shared" ca="1" si="52"/>
        <v>-</v>
      </c>
      <c r="I81" s="550" t="str">
        <f t="shared" ca="1" si="53"/>
        <v>-</v>
      </c>
      <c r="J81" s="551" t="e">
        <f t="shared" ca="1" si="54"/>
        <v>#REF!</v>
      </c>
      <c r="K81" s="549" t="e">
        <f t="shared" ca="1" si="55"/>
        <v>#REF!</v>
      </c>
      <c r="L81" s="552"/>
      <c r="M81" s="537">
        <v>1</v>
      </c>
      <c r="N81" s="538" t="e">
        <f t="shared" ca="1" si="44"/>
        <v>#REF!</v>
      </c>
      <c r="O81" s="539" t="e">
        <f t="shared" ca="1" si="45"/>
        <v>#REF!</v>
      </c>
      <c r="P81" s="552" t="e">
        <f>INDEX(Prüfwert!$1:$1048576,8,MATCH('X-Exchange'!$U81,Prüfwert!$16:$16,0))</f>
        <v>#N/A</v>
      </c>
      <c r="Q81" s="537">
        <v>1</v>
      </c>
      <c r="R81" s="538" t="e">
        <f t="shared" ca="1" si="46"/>
        <v>#REF!</v>
      </c>
      <c r="S81" s="553" t="e">
        <f t="shared" ca="1" si="47"/>
        <v>#REF!</v>
      </c>
      <c r="U81" s="569" t="s">
        <v>362</v>
      </c>
      <c r="V81" s="554" t="str">
        <f t="shared" si="49"/>
        <v>entry in questionnaire</v>
      </c>
      <c r="W81" s="554" t="s">
        <v>688</v>
      </c>
      <c r="X81" s="433">
        <v>1</v>
      </c>
      <c r="Y81" s="433">
        <v>1</v>
      </c>
      <c r="Z81" s="433">
        <v>1</v>
      </c>
      <c r="AA81" s="433">
        <v>1</v>
      </c>
      <c r="AB81" s="433">
        <v>1</v>
      </c>
      <c r="AC81" s="498" t="e">
        <f t="shared" ca="1" si="48"/>
        <v>#REF!</v>
      </c>
      <c r="AD81" s="542" t="e">
        <f t="shared" ca="1" si="56"/>
        <v>#REF!</v>
      </c>
      <c r="AE81" s="543" t="e">
        <f t="shared" ca="1" si="57"/>
        <v>#REF!</v>
      </c>
      <c r="AF81" s="544" t="e">
        <f t="shared" ca="1" si="58"/>
        <v>#REF!</v>
      </c>
      <c r="AG81" s="545" t="e">
        <f t="shared" ca="1" si="59"/>
        <v>#REF!</v>
      </c>
      <c r="AH81" s="546" t="e">
        <f t="shared" ca="1" si="60"/>
        <v>#REF!</v>
      </c>
      <c r="AI81" s="546" t="e">
        <f t="shared" ca="1" si="61"/>
        <v>#REF!</v>
      </c>
      <c r="AJ81" s="546" t="e">
        <f t="shared" ca="1" si="62"/>
        <v>#REF!</v>
      </c>
      <c r="AK81" s="546" t="e">
        <f t="shared" ca="1" si="63"/>
        <v>#REF!</v>
      </c>
      <c r="AL81" s="546" t="e">
        <f t="shared" ca="1" si="64"/>
        <v>#REF!</v>
      </c>
    </row>
    <row r="82" spans="1:38" ht="12.75">
      <c r="A82" s="563" t="s">
        <v>1486</v>
      </c>
      <c r="B82" s="529"/>
      <c r="C82" s="450"/>
      <c r="D82" s="547">
        <v>5</v>
      </c>
      <c r="E82" s="548" t="s">
        <v>340</v>
      </c>
      <c r="F82" s="444" t="e">
        <f t="shared" ca="1" si="50"/>
        <v>#REF!</v>
      </c>
      <c r="G82" s="549" t="e">
        <f t="shared" ca="1" si="51"/>
        <v>#REF!</v>
      </c>
      <c r="H82" s="550" t="str">
        <f t="shared" ca="1" si="52"/>
        <v>-</v>
      </c>
      <c r="I82" s="550" t="str">
        <f t="shared" ca="1" si="53"/>
        <v>-</v>
      </c>
      <c r="J82" s="551" t="e">
        <f t="shared" ca="1" si="54"/>
        <v>#REF!</v>
      </c>
      <c r="K82" s="549" t="e">
        <f t="shared" ca="1" si="55"/>
        <v>#REF!</v>
      </c>
      <c r="L82" s="552"/>
      <c r="M82" s="537">
        <v>1</v>
      </c>
      <c r="N82" s="538" t="e">
        <f t="shared" ca="1" si="44"/>
        <v>#REF!</v>
      </c>
      <c r="O82" s="539" t="e">
        <f t="shared" ca="1" si="45"/>
        <v>#REF!</v>
      </c>
      <c r="P82" s="552">
        <f>INDEX(Prüfwert!$1:$1048576,8,MATCH('X-Exchange'!$U82,Prüfwert!$16:$16,0))</f>
        <v>0</v>
      </c>
      <c r="Q82" s="537">
        <v>1</v>
      </c>
      <c r="R82" s="538" t="e">
        <f t="shared" ca="1" si="46"/>
        <v>#REF!</v>
      </c>
      <c r="S82" s="553" t="e">
        <f t="shared" ca="1" si="47"/>
        <v>#REF!</v>
      </c>
      <c r="U82" s="569" t="s">
        <v>871</v>
      </c>
      <c r="V82" s="554" t="str">
        <f t="shared" si="49"/>
        <v>entry in questionnaire</v>
      </c>
      <c r="W82" s="554" t="s">
        <v>688</v>
      </c>
      <c r="X82" s="433">
        <v>1</v>
      </c>
      <c r="Y82" s="433">
        <v>1</v>
      </c>
      <c r="Z82" s="433">
        <v>1</v>
      </c>
      <c r="AA82" s="433">
        <v>1</v>
      </c>
      <c r="AB82" s="433">
        <v>1</v>
      </c>
      <c r="AC82" s="498" t="e">
        <f t="shared" ca="1" si="48"/>
        <v>#REF!</v>
      </c>
      <c r="AD82" s="542" t="e">
        <f t="shared" ca="1" si="56"/>
        <v>#REF!</v>
      </c>
      <c r="AE82" s="543" t="e">
        <f t="shared" ca="1" si="57"/>
        <v>#REF!</v>
      </c>
      <c r="AF82" s="544" t="e">
        <f t="shared" ca="1" si="58"/>
        <v>#REF!</v>
      </c>
      <c r="AG82" s="545" t="e">
        <f t="shared" ca="1" si="59"/>
        <v>#REF!</v>
      </c>
      <c r="AH82" s="546" t="e">
        <f t="shared" ca="1" si="60"/>
        <v>#REF!</v>
      </c>
      <c r="AI82" s="546" t="e">
        <f t="shared" ca="1" si="61"/>
        <v>#REF!</v>
      </c>
      <c r="AJ82" s="546" t="e">
        <f t="shared" ca="1" si="62"/>
        <v>#REF!</v>
      </c>
      <c r="AK82" s="546" t="e">
        <f t="shared" ca="1" si="63"/>
        <v>#REF!</v>
      </c>
      <c r="AL82" s="546" t="e">
        <f t="shared" ca="1" si="64"/>
        <v>#REF!</v>
      </c>
    </row>
    <row r="83" spans="1:38" ht="12.75">
      <c r="A83" s="563" t="s">
        <v>1487</v>
      </c>
      <c r="B83" s="529"/>
      <c r="C83" s="450"/>
      <c r="D83" s="547">
        <v>5</v>
      </c>
      <c r="E83" s="548" t="s">
        <v>340</v>
      </c>
      <c r="F83" s="444" t="e">
        <f t="shared" ca="1" si="50"/>
        <v>#REF!</v>
      </c>
      <c r="G83" s="549" t="e">
        <f t="shared" ca="1" si="51"/>
        <v>#REF!</v>
      </c>
      <c r="H83" s="550" t="str">
        <f t="shared" ca="1" si="52"/>
        <v>-</v>
      </c>
      <c r="I83" s="550" t="str">
        <f t="shared" ca="1" si="53"/>
        <v>-</v>
      </c>
      <c r="J83" s="551" t="e">
        <f t="shared" ca="1" si="54"/>
        <v>#REF!</v>
      </c>
      <c r="K83" s="549" t="e">
        <f t="shared" ca="1" si="55"/>
        <v>#REF!</v>
      </c>
      <c r="L83" s="552"/>
      <c r="M83" s="537">
        <v>1</v>
      </c>
      <c r="N83" s="538" t="e">
        <f t="shared" ca="1" si="44"/>
        <v>#REF!</v>
      </c>
      <c r="O83" s="539" t="e">
        <f t="shared" ca="1" si="45"/>
        <v>#REF!</v>
      </c>
      <c r="P83" s="552">
        <f>INDEX(Prüfwert!$1:$1048576,8,MATCH('X-Exchange'!$U83,Prüfwert!$16:$16,0))</f>
        <v>0</v>
      </c>
      <c r="Q83" s="537">
        <v>1</v>
      </c>
      <c r="R83" s="538" t="e">
        <f t="shared" ca="1" si="46"/>
        <v>#REF!</v>
      </c>
      <c r="S83" s="553" t="e">
        <f t="shared" ca="1" si="47"/>
        <v>#REF!</v>
      </c>
      <c r="U83" s="569" t="s">
        <v>934</v>
      </c>
      <c r="V83" s="554" t="str">
        <f t="shared" si="49"/>
        <v>entry in questionnaire</v>
      </c>
      <c r="W83" s="554" t="s">
        <v>688</v>
      </c>
      <c r="X83" s="433">
        <v>1</v>
      </c>
      <c r="Y83" s="433">
        <v>1</v>
      </c>
      <c r="Z83" s="433">
        <v>1</v>
      </c>
      <c r="AA83" s="433">
        <v>1</v>
      </c>
      <c r="AB83" s="433">
        <v>1</v>
      </c>
      <c r="AC83" s="498" t="e">
        <f t="shared" ca="1" si="48"/>
        <v>#REF!</v>
      </c>
      <c r="AD83" s="542" t="e">
        <f t="shared" ca="1" si="56"/>
        <v>#REF!</v>
      </c>
      <c r="AE83" s="543" t="e">
        <f t="shared" ca="1" si="57"/>
        <v>#REF!</v>
      </c>
      <c r="AF83" s="544" t="e">
        <f t="shared" ca="1" si="58"/>
        <v>#REF!</v>
      </c>
      <c r="AG83" s="545" t="e">
        <f t="shared" ca="1" si="59"/>
        <v>#REF!</v>
      </c>
      <c r="AH83" s="546" t="e">
        <f t="shared" ca="1" si="60"/>
        <v>#REF!</v>
      </c>
      <c r="AI83" s="546" t="e">
        <f t="shared" ca="1" si="61"/>
        <v>#REF!</v>
      </c>
      <c r="AJ83" s="546" t="e">
        <f t="shared" ca="1" si="62"/>
        <v>#REF!</v>
      </c>
      <c r="AK83" s="546" t="e">
        <f t="shared" ca="1" si="63"/>
        <v>#REF!</v>
      </c>
      <c r="AL83" s="546" t="e">
        <f t="shared" ca="1" si="64"/>
        <v>#REF!</v>
      </c>
    </row>
    <row r="84" spans="1:38" ht="12.75">
      <c r="A84" s="563" t="s">
        <v>1488</v>
      </c>
      <c r="B84" s="529"/>
      <c r="C84" s="450"/>
      <c r="D84" s="547">
        <v>5</v>
      </c>
      <c r="E84" s="548" t="s">
        <v>340</v>
      </c>
      <c r="F84" s="444" t="e">
        <f t="shared" ca="1" si="50"/>
        <v>#REF!</v>
      </c>
      <c r="G84" s="549" t="e">
        <f t="shared" ca="1" si="51"/>
        <v>#REF!</v>
      </c>
      <c r="H84" s="550" t="str">
        <f t="shared" ca="1" si="52"/>
        <v>-</v>
      </c>
      <c r="I84" s="550" t="str">
        <f t="shared" ca="1" si="53"/>
        <v>-</v>
      </c>
      <c r="J84" s="551" t="e">
        <f t="shared" ca="1" si="54"/>
        <v>#REF!</v>
      </c>
      <c r="K84" s="549" t="e">
        <f t="shared" ca="1" si="55"/>
        <v>#REF!</v>
      </c>
      <c r="L84" s="552"/>
      <c r="M84" s="537">
        <v>1</v>
      </c>
      <c r="N84" s="538" t="e">
        <f t="shared" ca="1" si="44"/>
        <v>#REF!</v>
      </c>
      <c r="O84" s="539" t="e">
        <f t="shared" ca="1" si="45"/>
        <v>#REF!</v>
      </c>
      <c r="P84" s="552">
        <f>INDEX(Prüfwert!$1:$1048576,8,MATCH('X-Exchange'!$U84,Prüfwert!$16:$16,0))</f>
        <v>0</v>
      </c>
      <c r="Q84" s="537">
        <v>1</v>
      </c>
      <c r="R84" s="538" t="e">
        <f t="shared" ca="1" si="46"/>
        <v>#REF!</v>
      </c>
      <c r="S84" s="553" t="e">
        <f t="shared" ca="1" si="47"/>
        <v>#REF!</v>
      </c>
      <c r="U84" s="569" t="s">
        <v>977</v>
      </c>
      <c r="V84" s="554" t="str">
        <f t="shared" si="49"/>
        <v>entry in questionnaire</v>
      </c>
      <c r="W84" s="554" t="s">
        <v>688</v>
      </c>
      <c r="X84" s="433">
        <v>1</v>
      </c>
      <c r="Y84" s="433">
        <v>1</v>
      </c>
      <c r="Z84" s="433">
        <v>1</v>
      </c>
      <c r="AA84" s="433">
        <v>1</v>
      </c>
      <c r="AB84" s="433">
        <v>1</v>
      </c>
      <c r="AC84" s="498" t="e">
        <f t="shared" ca="1" si="48"/>
        <v>#REF!</v>
      </c>
      <c r="AD84" s="542" t="e">
        <f t="shared" ca="1" si="56"/>
        <v>#REF!</v>
      </c>
      <c r="AE84" s="543" t="e">
        <f t="shared" ca="1" si="57"/>
        <v>#REF!</v>
      </c>
      <c r="AF84" s="544" t="e">
        <f t="shared" ca="1" si="58"/>
        <v>#REF!</v>
      </c>
      <c r="AG84" s="545" t="e">
        <f t="shared" ca="1" si="59"/>
        <v>#REF!</v>
      </c>
      <c r="AH84" s="546" t="e">
        <f t="shared" ca="1" si="60"/>
        <v>#REF!</v>
      </c>
      <c r="AI84" s="546" t="e">
        <f t="shared" ca="1" si="61"/>
        <v>#REF!</v>
      </c>
      <c r="AJ84" s="546" t="e">
        <f t="shared" ca="1" si="62"/>
        <v>#REF!</v>
      </c>
      <c r="AK84" s="546" t="e">
        <f t="shared" ca="1" si="63"/>
        <v>#REF!</v>
      </c>
      <c r="AL84" s="546" t="e">
        <f t="shared" ca="1" si="64"/>
        <v>#REF!</v>
      </c>
    </row>
    <row r="85" spans="1:38" ht="12.75">
      <c r="A85" s="559" t="s">
        <v>1492</v>
      </c>
      <c r="B85" s="529" t="str">
        <f t="shared" ref="B85:B86" ca="1" si="65">IF(OR(D85&lt;&gt;D84,E85&lt;&gt;E84,H85&lt;&gt;H84,I85&lt;&gt;I84),IF(D85=5,"technosphere",IF(D85=4,H85&amp;", "&amp;I85,"emission "&amp;H85&amp;", "&amp;I85)),"")</f>
        <v/>
      </c>
      <c r="C85" s="450"/>
      <c r="D85" s="547">
        <v>5</v>
      </c>
      <c r="E85" s="548" t="s">
        <v>340</v>
      </c>
      <c r="F85" s="444" t="e">
        <f t="shared" ca="1" si="50"/>
        <v>#REF!</v>
      </c>
      <c r="G85" s="549" t="e">
        <f t="shared" ca="1" si="51"/>
        <v>#REF!</v>
      </c>
      <c r="H85" s="550" t="str">
        <f t="shared" ca="1" si="52"/>
        <v>-</v>
      </c>
      <c r="I85" s="550" t="str">
        <f t="shared" ca="1" si="53"/>
        <v>-</v>
      </c>
      <c r="J85" s="551" t="e">
        <f t="shared" ca="1" si="54"/>
        <v>#REF!</v>
      </c>
      <c r="K85" s="549" t="e">
        <f t="shared" ca="1" si="55"/>
        <v>#REF!</v>
      </c>
      <c r="L85" s="552"/>
      <c r="M85" s="537">
        <v>1</v>
      </c>
      <c r="N85" s="538" t="e">
        <f t="shared" ref="N85:N106" ca="1" si="66">$AF85</f>
        <v>#REF!</v>
      </c>
      <c r="O85" s="539" t="e">
        <f t="shared" ref="O85:O106" ca="1" si="67">$AG85&amp;"; "&amp;$V85&amp;"; "&amp;$W85</f>
        <v>#REF!</v>
      </c>
      <c r="P85" s="552"/>
      <c r="Q85" s="537">
        <v>1</v>
      </c>
      <c r="R85" s="538" t="e">
        <f t="shared" ref="R85:R106" ca="1" si="68">$AF85</f>
        <v>#REF!</v>
      </c>
      <c r="S85" s="553" t="e">
        <f t="shared" ref="S85:S106" ca="1" si="69">$AG85&amp;"; "&amp;$V85&amp;"; "&amp;$W85</f>
        <v>#REF!</v>
      </c>
      <c r="U85" s="572" t="s">
        <v>839</v>
      </c>
      <c r="V85" s="554" t="str">
        <f t="shared" si="49"/>
        <v>entry in questionnaire</v>
      </c>
      <c r="W85" s="554" t="s">
        <v>1491</v>
      </c>
      <c r="X85" s="433">
        <v>1</v>
      </c>
      <c r="Y85" s="433">
        <v>1</v>
      </c>
      <c r="Z85" s="433">
        <v>1</v>
      </c>
      <c r="AA85" s="433">
        <v>1</v>
      </c>
      <c r="AB85" s="433">
        <v>1</v>
      </c>
      <c r="AC85" s="498" t="e">
        <f t="shared" ref="AC85:AC106" ca="1" si="70">IF(OR($D85=4,$E85=4),INDEX(INDIRECT(names&amp;"NamesElementary'!$J:$J"),MATCH($A85,INDIRECT(names&amp;"NamesElementary'!$A:$A"),0),1),INDEX(INDIRECT(names&amp;"Names'!$W:$W"),MATCH($A85,INDIRECT(names&amp;"Names'!$F:$F"),0),1))</f>
        <v>#REF!</v>
      </c>
      <c r="AD85" s="542" t="e">
        <f t="shared" ca="1" si="56"/>
        <v>#REF!</v>
      </c>
      <c r="AE85" s="543" t="e">
        <f t="shared" ca="1" si="57"/>
        <v>#REF!</v>
      </c>
      <c r="AF85" s="544" t="e">
        <f t="shared" ca="1" si="58"/>
        <v>#REF!</v>
      </c>
      <c r="AG85" s="545" t="e">
        <f t="shared" ca="1" si="59"/>
        <v>#REF!</v>
      </c>
      <c r="AH85" s="546" t="e">
        <f t="shared" ca="1" si="60"/>
        <v>#REF!</v>
      </c>
      <c r="AI85" s="546" t="e">
        <f t="shared" ca="1" si="61"/>
        <v>#REF!</v>
      </c>
      <c r="AJ85" s="546" t="e">
        <f t="shared" ca="1" si="62"/>
        <v>#REF!</v>
      </c>
      <c r="AK85" s="546" t="e">
        <f t="shared" ca="1" si="63"/>
        <v>#REF!</v>
      </c>
      <c r="AL85" s="546" t="e">
        <f t="shared" ca="1" si="64"/>
        <v>#REF!</v>
      </c>
    </row>
    <row r="86" spans="1:38" ht="12.75">
      <c r="A86" s="559" t="s">
        <v>1493</v>
      </c>
      <c r="B86" s="529" t="str">
        <f t="shared" ca="1" si="65"/>
        <v/>
      </c>
      <c r="C86" s="450"/>
      <c r="D86" s="547">
        <v>5</v>
      </c>
      <c r="E86" s="548" t="s">
        <v>340</v>
      </c>
      <c r="F86" s="444" t="e">
        <f t="shared" ca="1" si="50"/>
        <v>#REF!</v>
      </c>
      <c r="G86" s="549" t="e">
        <f t="shared" ca="1" si="51"/>
        <v>#REF!</v>
      </c>
      <c r="H86" s="550" t="str">
        <f t="shared" ca="1" si="52"/>
        <v>-</v>
      </c>
      <c r="I86" s="550" t="str">
        <f t="shared" ca="1" si="53"/>
        <v>-</v>
      </c>
      <c r="J86" s="551" t="e">
        <f t="shared" ca="1" si="54"/>
        <v>#REF!</v>
      </c>
      <c r="K86" s="549" t="e">
        <f t="shared" ca="1" si="55"/>
        <v>#REF!</v>
      </c>
      <c r="L86" s="552"/>
      <c r="M86" s="537">
        <v>1</v>
      </c>
      <c r="N86" s="538" t="e">
        <f t="shared" ca="1" si="66"/>
        <v>#REF!</v>
      </c>
      <c r="O86" s="539" t="e">
        <f t="shared" ca="1" si="67"/>
        <v>#REF!</v>
      </c>
      <c r="P86" s="552"/>
      <c r="Q86" s="537">
        <v>1</v>
      </c>
      <c r="R86" s="538" t="e">
        <f t="shared" ca="1" si="68"/>
        <v>#REF!</v>
      </c>
      <c r="S86" s="553" t="e">
        <f t="shared" ca="1" si="69"/>
        <v>#REF!</v>
      </c>
      <c r="U86" s="572" t="s">
        <v>840</v>
      </c>
      <c r="V86" s="554" t="str">
        <f t="shared" si="49"/>
        <v>entry in questionnaire</v>
      </c>
      <c r="W86" s="554" t="s">
        <v>1491</v>
      </c>
      <c r="X86" s="433">
        <v>1</v>
      </c>
      <c r="Y86" s="433">
        <v>1</v>
      </c>
      <c r="Z86" s="433">
        <v>1</v>
      </c>
      <c r="AA86" s="433">
        <v>1</v>
      </c>
      <c r="AB86" s="433">
        <v>1</v>
      </c>
      <c r="AC86" s="498" t="e">
        <f t="shared" ca="1" si="70"/>
        <v>#REF!</v>
      </c>
      <c r="AD86" s="542" t="e">
        <f t="shared" ca="1" si="56"/>
        <v>#REF!</v>
      </c>
      <c r="AE86" s="543" t="e">
        <f t="shared" ca="1" si="57"/>
        <v>#REF!</v>
      </c>
      <c r="AF86" s="544" t="e">
        <f t="shared" ca="1" si="58"/>
        <v>#REF!</v>
      </c>
      <c r="AG86" s="545" t="e">
        <f t="shared" ca="1" si="59"/>
        <v>#REF!</v>
      </c>
      <c r="AH86" s="546" t="e">
        <f t="shared" ca="1" si="60"/>
        <v>#REF!</v>
      </c>
      <c r="AI86" s="546" t="e">
        <f t="shared" ca="1" si="61"/>
        <v>#REF!</v>
      </c>
      <c r="AJ86" s="546" t="e">
        <f t="shared" ca="1" si="62"/>
        <v>#REF!</v>
      </c>
      <c r="AK86" s="546" t="e">
        <f t="shared" ca="1" si="63"/>
        <v>#REF!</v>
      </c>
      <c r="AL86" s="546" t="e">
        <f t="shared" ca="1" si="64"/>
        <v>#REF!</v>
      </c>
    </row>
    <row r="87" spans="1:38" ht="12.75">
      <c r="A87" s="563" t="s">
        <v>1494</v>
      </c>
      <c r="B87" s="529" t="str">
        <f t="shared" ref="B87" ca="1" si="71">IF(OR(D87&lt;&gt;D86,E87&lt;&gt;E86,H87&lt;&gt;H86,I87&lt;&gt;I86),IF(D87=5,"technosphere",IF(D87=4,H87&amp;", "&amp;I87,"emission "&amp;H87&amp;", "&amp;I87)),"")</f>
        <v/>
      </c>
      <c r="C87" s="450"/>
      <c r="D87" s="547">
        <v>5</v>
      </c>
      <c r="E87" s="548" t="s">
        <v>340</v>
      </c>
      <c r="F87" s="444" t="e">
        <f t="shared" ref="F87" ca="1" si="72">IF(OR(D87=4,E87=4),INDEX(INDIRECT(names&amp;"NamesElementary'!$1:$65536"),MATCH(A87,INDIRECT(names&amp;"NamesElementary'!$A:$A"),0),2),INDEX(INDIRECT(names&amp;"Names'!$1:$65536"),MATCH(A87,INDIRECT(names&amp;"Names'!$F:$F"),0),10))</f>
        <v>#REF!</v>
      </c>
      <c r="G87" s="549" t="e">
        <f t="shared" ref="G87" ca="1" si="73">IF(OR(D87=4,E87=4),"-",INDEX(INDIRECT(names&amp;"Names'!$1:$65536"),MATCH(A87,INDIRECT(names&amp;"Names'!$F:$F"),0),11))</f>
        <v>#REF!</v>
      </c>
      <c r="H87" s="550" t="str">
        <f t="shared" ref="H87" ca="1" si="74">IF(OR(D87=4,E87=4),INDEX(INDIRECT(names&amp;"NamesElementary'!$1:$65536"),MATCH($A87,INDIRECT(names&amp;"NamesElementary'!$A:$A"),0),4),"-")</f>
        <v>-</v>
      </c>
      <c r="I87" s="550" t="str">
        <f t="shared" ref="I87" ca="1" si="75">IF(OR(D87=4,E87=4),INDEX(INDIRECT(names&amp;"NamesElementary'!$1:$65536"),MATCH($A87,INDIRECT(names&amp;"NamesElementary'!$A:$A"),0),5),"-")</f>
        <v>-</v>
      </c>
      <c r="J87" s="551" t="e">
        <f t="shared" ref="J87" ca="1" si="76">IF(OR(D87=4,E87=4),"-",INDEX(INDIRECT(names&amp;"Names'!$1:$65536"),MATCH(A87,INDIRECT(names&amp;"Names'!$F:$F"),0),14))</f>
        <v>#REF!</v>
      </c>
      <c r="K87" s="549" t="e">
        <f t="shared" ref="K87" ca="1" si="77">IF(OR(D87=4,E87=4),INDEX(INDIRECT(names&amp;"NamesElementary'!$1:$65536"),MATCH(A87,INDIRECT(names&amp;"NamesElementary'!$A:$A"),0),7),INDEX(INDIRECT(names&amp;"Names'!$1:$65536"),MATCH(A87,INDIRECT(names&amp;"Names'!$F:$F"),0),15))</f>
        <v>#REF!</v>
      </c>
      <c r="L87" s="552" t="e">
        <f>INDEX(Substrates!$AP$126:$AV$139,1,MATCH('X-Exchange'!$U87,Substrates!$AP$139:$AV$139,0))</f>
        <v>#N/A</v>
      </c>
      <c r="M87" s="537">
        <v>1</v>
      </c>
      <c r="N87" s="538" t="e">
        <f t="shared" ca="1" si="66"/>
        <v>#REF!</v>
      </c>
      <c r="O87" s="539" t="e">
        <f t="shared" ca="1" si="67"/>
        <v>#REF!</v>
      </c>
      <c r="P87" s="552">
        <f>INDEX(Substrates!$AM$126:$AO$126,1,MATCH('X-Exchange'!$U87,Substrates!$AM$139:$AO$139,0))</f>
        <v>0</v>
      </c>
      <c r="Q87" s="537">
        <v>1</v>
      </c>
      <c r="R87" s="538" t="e">
        <f t="shared" ca="1" si="68"/>
        <v>#REF!</v>
      </c>
      <c r="S87" s="553" t="e">
        <f t="shared" ca="1" si="69"/>
        <v>#REF!</v>
      </c>
      <c r="U87" s="572" t="s">
        <v>1181</v>
      </c>
      <c r="V87" s="554" t="str">
        <f t="shared" si="49"/>
        <v>entry in questionnaire</v>
      </c>
      <c r="W87" s="554" t="s">
        <v>1491</v>
      </c>
      <c r="X87" s="433">
        <v>1</v>
      </c>
      <c r="Y87" s="433">
        <v>1</v>
      </c>
      <c r="Z87" s="433">
        <v>1</v>
      </c>
      <c r="AA87" s="433">
        <v>1</v>
      </c>
      <c r="AB87" s="433">
        <v>1</v>
      </c>
      <c r="AC87" s="498" t="e">
        <f t="shared" ca="1" si="70"/>
        <v>#REF!</v>
      </c>
      <c r="AD87" s="542" t="e">
        <f t="shared" ref="AD87" ca="1" si="78">INDEX(INDIRECT(names&amp;"BasicUncertainty'!$1:$65536"),MATCH(AC87,INDIRECT(names&amp;"BasicUncertainty'!B:B"),0),8)</f>
        <v>#REF!</v>
      </c>
      <c r="AE87" s="543" t="e">
        <f t="shared" ref="AE87" ca="1" si="79">EXP(SQRT((LN(AH87)^2)+(LN(AI87)^2)+(LN(AJ87)^2)+(LN(AK87)^2)+(LN(AL87)^2)))</f>
        <v>#REF!</v>
      </c>
      <c r="AF87" s="544" t="e">
        <f t="shared" ref="AF87" ca="1" si="80">EXP(SQRT((LN(AH87)^2)+(LN(AI87)^2)+(LN(AJ87)^2)+(LN(AK87)^2)+(LN(AL87)^2)+(LN(AD87)^2)))</f>
        <v>#REF!</v>
      </c>
      <c r="AG87" s="545" t="e">
        <f t="shared" ref="AG87" ca="1" si="81">CONCATENATE("(",X87,",",Y87,",",Z87,",",AA87,",",AB87,",BU:",AD87,")")</f>
        <v>#REF!</v>
      </c>
      <c r="AH87" s="546" t="e">
        <f t="shared" ref="AH87" ca="1" si="82">IF(X87=1,INDIRECT(names&amp;"SDG^2 values'!$B$4"),IF(X87=2,INDIRECT(names&amp;"SDG^2 values'!$C$4"),IF(X87=3,INDIRECT(names&amp;"SDG^2 values'!$D$4"),IF(X87=4,INDIRECT(names&amp;"SDG^2 values'!$E$4"),IF(X87=5,INDIRECT(names&amp;"SDG^2 values'!$F$4"),1)))))</f>
        <v>#REF!</v>
      </c>
      <c r="AI87" s="546" t="e">
        <f t="shared" ref="AI87" ca="1" si="83">IF(Y87=1,INDIRECT(names&amp;"SDG^2 values'!$B$5"),IF(Y87=2,INDIRECT(names&amp;"SDG^2 values'!$C$5"),IF(Y87=3,INDIRECT(names&amp;"SDG^2 values'!$D$5"),IF(Y87=4,INDIRECT(names&amp;"SDG^2 values'!$E$5"),IF(Y87=5,INDIRECT(names&amp;"SDG^2 values'!$F$5"),1)))))</f>
        <v>#REF!</v>
      </c>
      <c r="AJ87" s="546" t="e">
        <f t="shared" ref="AJ87" ca="1" si="84">IF(Z87=1,INDIRECT(names&amp;"SDG^2 values'!$B$6"),IF(Z87=2,INDIRECT(names&amp;"SDG^2 values'!$C$6"),IF(Z87=3,INDIRECT(names&amp;"SDG^2 values'!$D$6"),IF(Z87=4,INDIRECT(names&amp;"SDG^2 values'!$E$6"),IF(Z87=5,INDIRECT(names&amp;"SDG^2 values'!$F$6"),1)))))</f>
        <v>#REF!</v>
      </c>
      <c r="AK87" s="546" t="e">
        <f t="shared" ref="AK87" ca="1" si="85">IF(AA87=1,INDIRECT(names&amp;"SDG^2 values'!$B$7"),IF(AA87=2,INDIRECT(names&amp;"SDG^2 values'!$C$7"),IF(AA87=3,INDIRECT(names&amp;"SDG^2 values'!$D$7"),IF(AA87=4,INDIRECT(names&amp;"SDG^2 values'!$E$7"),IF(AA87=5,INDIRECT(names&amp;"SDG^2 values'!$F$7"),1)))))</f>
        <v>#REF!</v>
      </c>
      <c r="AL87" s="546" t="e">
        <f t="shared" ref="AL87" ca="1" si="86">IF(AB87=1,INDIRECT(names&amp;"SDG^2 values'!$B$8"),IF(AB87=2,INDIRECT(names&amp;"SDG^2 values'!$C$8"),IF(AB87=3,INDIRECT(names&amp;"SDG^2 values'!$D$8"),IF(AB87=4,INDIRECT(names&amp;"SDG^2 values'!$E$8"),IF(AB87=5,INDIRECT(names&amp;"SDG^2 values'!$F$8"),1)))))</f>
        <v>#REF!</v>
      </c>
    </row>
    <row r="88" spans="1:38" ht="12.75">
      <c r="A88" s="559" t="s">
        <v>1495</v>
      </c>
      <c r="B88" s="529" t="str">
        <f t="shared" ref="B88:B106" ca="1" si="87">IF(OR(D88&lt;&gt;D87,E88&lt;&gt;E87,H88&lt;&gt;H87,I88&lt;&gt;I87),IF(D88=5,"technosphere",IF(D88=4,H88&amp;", "&amp;I88,"emission "&amp;H88&amp;", "&amp;I88)),"")</f>
        <v/>
      </c>
      <c r="C88" s="450"/>
      <c r="D88" s="547">
        <v>5</v>
      </c>
      <c r="E88" s="548" t="s">
        <v>340</v>
      </c>
      <c r="F88" s="444" t="e">
        <f t="shared" ref="F88:F106" ca="1" si="88">IF(OR(D88=4,E88=4),INDEX(INDIRECT(names&amp;"NamesElementary'!$1:$65536"),MATCH(A88,INDIRECT(names&amp;"NamesElementary'!$A:$A"),0),2),INDEX(INDIRECT(names&amp;"Names'!$1:$65536"),MATCH(A88,INDIRECT(names&amp;"Names'!$F:$F"),0),10))</f>
        <v>#REF!</v>
      </c>
      <c r="G88" s="549" t="e">
        <f t="shared" ref="G88:G106" ca="1" si="89">IF(OR(D88=4,E88=4),"-",INDEX(INDIRECT(names&amp;"Names'!$1:$65536"),MATCH(A88,INDIRECT(names&amp;"Names'!$F:$F"),0),11))</f>
        <v>#REF!</v>
      </c>
      <c r="H88" s="550" t="str">
        <f t="shared" ref="H88:H106" ca="1" si="90">IF(OR(D88=4,E88=4),INDEX(INDIRECT(names&amp;"NamesElementary'!$1:$65536"),MATCH($A88,INDIRECT(names&amp;"NamesElementary'!$A:$A"),0),4),"-")</f>
        <v>-</v>
      </c>
      <c r="I88" s="550" t="str">
        <f t="shared" ref="I88:I106" ca="1" si="91">IF(OR(D88=4,E88=4),INDEX(INDIRECT(names&amp;"NamesElementary'!$1:$65536"),MATCH($A88,INDIRECT(names&amp;"NamesElementary'!$A:$A"),0),5),"-")</f>
        <v>-</v>
      </c>
      <c r="J88" s="551" t="e">
        <f t="shared" ref="J88:J106" ca="1" si="92">IF(OR(D88=4,E88=4),"-",INDEX(INDIRECT(names&amp;"Names'!$1:$65536"),MATCH(A88,INDIRECT(names&amp;"Names'!$F:$F"),0),14))</f>
        <v>#REF!</v>
      </c>
      <c r="K88" s="549" t="e">
        <f t="shared" ref="K88:K106" ca="1" si="93">IF(OR(D88=4,E88=4),INDEX(INDIRECT(names&amp;"NamesElementary'!$1:$65536"),MATCH(A88,INDIRECT(names&amp;"NamesElementary'!$A:$A"),0),7),INDEX(INDIRECT(names&amp;"Names'!$1:$65536"),MATCH(A88,INDIRECT(names&amp;"Names'!$F:$F"),0),15))</f>
        <v>#REF!</v>
      </c>
      <c r="L88" s="552"/>
      <c r="M88" s="537">
        <v>1</v>
      </c>
      <c r="N88" s="538" t="e">
        <f t="shared" ca="1" si="66"/>
        <v>#REF!</v>
      </c>
      <c r="O88" s="539" t="e">
        <f t="shared" ca="1" si="67"/>
        <v>#REF!</v>
      </c>
      <c r="P88" s="552"/>
      <c r="Q88" s="537">
        <v>1</v>
      </c>
      <c r="R88" s="538" t="e">
        <f t="shared" ca="1" si="68"/>
        <v>#REF!</v>
      </c>
      <c r="S88" s="553" t="e">
        <f t="shared" ca="1" si="69"/>
        <v>#REF!</v>
      </c>
      <c r="U88" s="572" t="s">
        <v>841</v>
      </c>
      <c r="V88" s="554" t="str">
        <f t="shared" si="49"/>
        <v>entry in questionnaire</v>
      </c>
      <c r="W88" s="554" t="s">
        <v>1491</v>
      </c>
      <c r="X88" s="433">
        <v>1</v>
      </c>
      <c r="Y88" s="433">
        <v>1</v>
      </c>
      <c r="Z88" s="433">
        <v>1</v>
      </c>
      <c r="AA88" s="433">
        <v>1</v>
      </c>
      <c r="AB88" s="433">
        <v>1</v>
      </c>
      <c r="AC88" s="498" t="e">
        <f t="shared" ca="1" si="70"/>
        <v>#REF!</v>
      </c>
      <c r="AD88" s="542" t="e">
        <f t="shared" ref="AD88:AD106" ca="1" si="94">INDEX(INDIRECT(names&amp;"BasicUncertainty'!$1:$65536"),MATCH(AC88,INDIRECT(names&amp;"BasicUncertainty'!B:B"),0),8)</f>
        <v>#REF!</v>
      </c>
      <c r="AE88" s="543" t="e">
        <f t="shared" ref="AE88:AE106" ca="1" si="95">EXP(SQRT((LN(AH88)^2)+(LN(AI88)^2)+(LN(AJ88)^2)+(LN(AK88)^2)+(LN(AL88)^2)))</f>
        <v>#REF!</v>
      </c>
      <c r="AF88" s="544" t="e">
        <f t="shared" ref="AF88:AF106" ca="1" si="96">EXP(SQRT((LN(AH88)^2)+(LN(AI88)^2)+(LN(AJ88)^2)+(LN(AK88)^2)+(LN(AL88)^2)+(LN(AD88)^2)))</f>
        <v>#REF!</v>
      </c>
      <c r="AG88" s="545" t="e">
        <f t="shared" ref="AG88:AG106" ca="1" si="97">CONCATENATE("(",X88,",",Y88,",",Z88,",",AA88,",",AB88,",BU:",AD88,")")</f>
        <v>#REF!</v>
      </c>
      <c r="AH88" s="546" t="e">
        <f t="shared" ref="AH88:AH106" ca="1" si="98">IF(X88=1,INDIRECT(names&amp;"SDG^2 values'!$B$4"),IF(X88=2,INDIRECT(names&amp;"SDG^2 values'!$C$4"),IF(X88=3,INDIRECT(names&amp;"SDG^2 values'!$D$4"),IF(X88=4,INDIRECT(names&amp;"SDG^2 values'!$E$4"),IF(X88=5,INDIRECT(names&amp;"SDG^2 values'!$F$4"),1)))))</f>
        <v>#REF!</v>
      </c>
      <c r="AI88" s="546" t="e">
        <f t="shared" ref="AI88:AI106" ca="1" si="99">IF(Y88=1,INDIRECT(names&amp;"SDG^2 values'!$B$5"),IF(Y88=2,INDIRECT(names&amp;"SDG^2 values'!$C$5"),IF(Y88=3,INDIRECT(names&amp;"SDG^2 values'!$D$5"),IF(Y88=4,INDIRECT(names&amp;"SDG^2 values'!$E$5"),IF(Y88=5,INDIRECT(names&amp;"SDG^2 values'!$F$5"),1)))))</f>
        <v>#REF!</v>
      </c>
      <c r="AJ88" s="546" t="e">
        <f t="shared" ref="AJ88:AJ106" ca="1" si="100">IF(Z88=1,INDIRECT(names&amp;"SDG^2 values'!$B$6"),IF(Z88=2,INDIRECT(names&amp;"SDG^2 values'!$C$6"),IF(Z88=3,INDIRECT(names&amp;"SDG^2 values'!$D$6"),IF(Z88=4,INDIRECT(names&amp;"SDG^2 values'!$E$6"),IF(Z88=5,INDIRECT(names&amp;"SDG^2 values'!$F$6"),1)))))</f>
        <v>#REF!</v>
      </c>
      <c r="AK88" s="546" t="e">
        <f t="shared" ref="AK88:AK106" ca="1" si="101">IF(AA88=1,INDIRECT(names&amp;"SDG^2 values'!$B$7"),IF(AA88=2,INDIRECT(names&amp;"SDG^2 values'!$C$7"),IF(AA88=3,INDIRECT(names&amp;"SDG^2 values'!$D$7"),IF(AA88=4,INDIRECT(names&amp;"SDG^2 values'!$E$7"),IF(AA88=5,INDIRECT(names&amp;"SDG^2 values'!$F$7"),1)))))</f>
        <v>#REF!</v>
      </c>
      <c r="AL88" s="546" t="e">
        <f t="shared" ref="AL88:AL106" ca="1" si="102">IF(AB88=1,INDIRECT(names&amp;"SDG^2 values'!$B$8"),IF(AB88=2,INDIRECT(names&amp;"SDG^2 values'!$C$8"),IF(AB88=3,INDIRECT(names&amp;"SDG^2 values'!$D$8"),IF(AB88=4,INDIRECT(names&amp;"SDG^2 values'!$E$8"),IF(AB88=5,INDIRECT(names&amp;"SDG^2 values'!$F$8"),1)))))</f>
        <v>#REF!</v>
      </c>
    </row>
    <row r="89" spans="1:38" ht="12.75">
      <c r="A89" s="559" t="s">
        <v>1496</v>
      </c>
      <c r="B89" s="529" t="str">
        <f t="shared" ca="1" si="87"/>
        <v/>
      </c>
      <c r="C89" s="450"/>
      <c r="D89" s="547">
        <v>5</v>
      </c>
      <c r="E89" s="548" t="s">
        <v>340</v>
      </c>
      <c r="F89" s="444" t="e">
        <f t="shared" ca="1" si="88"/>
        <v>#REF!</v>
      </c>
      <c r="G89" s="549" t="e">
        <f t="shared" ca="1" si="89"/>
        <v>#REF!</v>
      </c>
      <c r="H89" s="550" t="str">
        <f t="shared" ca="1" si="90"/>
        <v>-</v>
      </c>
      <c r="I89" s="550" t="str">
        <f t="shared" ca="1" si="91"/>
        <v>-</v>
      </c>
      <c r="J89" s="551" t="e">
        <f t="shared" ca="1" si="92"/>
        <v>#REF!</v>
      </c>
      <c r="K89" s="549" t="e">
        <f t="shared" ca="1" si="93"/>
        <v>#REF!</v>
      </c>
      <c r="L89" s="552"/>
      <c r="M89" s="537">
        <v>1</v>
      </c>
      <c r="N89" s="538" t="e">
        <f t="shared" ca="1" si="66"/>
        <v>#REF!</v>
      </c>
      <c r="O89" s="539" t="e">
        <f t="shared" ca="1" si="67"/>
        <v>#REF!</v>
      </c>
      <c r="P89" s="552"/>
      <c r="Q89" s="537">
        <v>1</v>
      </c>
      <c r="R89" s="538" t="e">
        <f t="shared" ca="1" si="68"/>
        <v>#REF!</v>
      </c>
      <c r="S89" s="553" t="e">
        <f t="shared" ca="1" si="69"/>
        <v>#REF!</v>
      </c>
      <c r="U89" s="572" t="s">
        <v>842</v>
      </c>
      <c r="V89" s="554" t="str">
        <f t="shared" si="49"/>
        <v>entry in questionnaire</v>
      </c>
      <c r="W89" s="554" t="s">
        <v>1491</v>
      </c>
      <c r="X89" s="433">
        <v>1</v>
      </c>
      <c r="Y89" s="433">
        <v>1</v>
      </c>
      <c r="Z89" s="433">
        <v>1</v>
      </c>
      <c r="AA89" s="433">
        <v>1</v>
      </c>
      <c r="AB89" s="433">
        <v>1</v>
      </c>
      <c r="AC89" s="498" t="e">
        <f t="shared" ca="1" si="70"/>
        <v>#REF!</v>
      </c>
      <c r="AD89" s="542" t="e">
        <f t="shared" ca="1" si="94"/>
        <v>#REF!</v>
      </c>
      <c r="AE89" s="543" t="e">
        <f t="shared" ca="1" si="95"/>
        <v>#REF!</v>
      </c>
      <c r="AF89" s="544" t="e">
        <f t="shared" ca="1" si="96"/>
        <v>#REF!</v>
      </c>
      <c r="AG89" s="545" t="e">
        <f t="shared" ca="1" si="97"/>
        <v>#REF!</v>
      </c>
      <c r="AH89" s="546" t="e">
        <f t="shared" ca="1" si="98"/>
        <v>#REF!</v>
      </c>
      <c r="AI89" s="546" t="e">
        <f t="shared" ca="1" si="99"/>
        <v>#REF!</v>
      </c>
      <c r="AJ89" s="546" t="e">
        <f t="shared" ca="1" si="100"/>
        <v>#REF!</v>
      </c>
      <c r="AK89" s="546" t="e">
        <f t="shared" ca="1" si="101"/>
        <v>#REF!</v>
      </c>
      <c r="AL89" s="546" t="e">
        <f t="shared" ca="1" si="102"/>
        <v>#REF!</v>
      </c>
    </row>
    <row r="90" spans="1:38" ht="12.75">
      <c r="A90" s="563" t="s">
        <v>1497</v>
      </c>
      <c r="B90" s="529" t="str">
        <f t="shared" ca="1" si="87"/>
        <v/>
      </c>
      <c r="C90" s="450"/>
      <c r="D90" s="547">
        <v>5</v>
      </c>
      <c r="E90" s="548" t="s">
        <v>340</v>
      </c>
      <c r="F90" s="444" t="e">
        <f t="shared" ca="1" si="88"/>
        <v>#REF!</v>
      </c>
      <c r="G90" s="549" t="e">
        <f t="shared" ca="1" si="89"/>
        <v>#REF!</v>
      </c>
      <c r="H90" s="550" t="str">
        <f t="shared" ca="1" si="90"/>
        <v>-</v>
      </c>
      <c r="I90" s="550" t="str">
        <f t="shared" ca="1" si="91"/>
        <v>-</v>
      </c>
      <c r="J90" s="551" t="e">
        <f t="shared" ca="1" si="92"/>
        <v>#REF!</v>
      </c>
      <c r="K90" s="549" t="e">
        <f t="shared" ca="1" si="93"/>
        <v>#REF!</v>
      </c>
      <c r="L90" s="552" t="e">
        <f>INDEX(Substrates!$AP$126:$AV$139,1,MATCH('X-Exchange'!$U90,Substrates!$AP$139:$AV$139,0))</f>
        <v>#N/A</v>
      </c>
      <c r="M90" s="537">
        <v>1</v>
      </c>
      <c r="N90" s="538" t="e">
        <f t="shared" ca="1" si="66"/>
        <v>#REF!</v>
      </c>
      <c r="O90" s="539" t="e">
        <f t="shared" ca="1" si="67"/>
        <v>#REF!</v>
      </c>
      <c r="P90" s="552"/>
      <c r="Q90" s="537">
        <v>1</v>
      </c>
      <c r="R90" s="538" t="e">
        <f t="shared" ca="1" si="68"/>
        <v>#REF!</v>
      </c>
      <c r="S90" s="553" t="e">
        <f t="shared" ca="1" si="69"/>
        <v>#REF!</v>
      </c>
      <c r="U90" s="572" t="s">
        <v>1182</v>
      </c>
      <c r="V90" s="554" t="str">
        <f t="shared" si="49"/>
        <v>entry in questionnaire</v>
      </c>
      <c r="W90" s="554" t="s">
        <v>1491</v>
      </c>
      <c r="X90" s="433">
        <v>1</v>
      </c>
      <c r="Y90" s="433">
        <v>1</v>
      </c>
      <c r="Z90" s="433">
        <v>1</v>
      </c>
      <c r="AA90" s="433">
        <v>1</v>
      </c>
      <c r="AB90" s="433">
        <v>1</v>
      </c>
      <c r="AC90" s="498" t="e">
        <f t="shared" ca="1" si="70"/>
        <v>#REF!</v>
      </c>
      <c r="AD90" s="542" t="e">
        <f t="shared" ca="1" si="94"/>
        <v>#REF!</v>
      </c>
      <c r="AE90" s="543" t="e">
        <f t="shared" ca="1" si="95"/>
        <v>#REF!</v>
      </c>
      <c r="AF90" s="544" t="e">
        <f t="shared" ca="1" si="96"/>
        <v>#REF!</v>
      </c>
      <c r="AG90" s="545" t="e">
        <f t="shared" ca="1" si="97"/>
        <v>#REF!</v>
      </c>
      <c r="AH90" s="546" t="e">
        <f t="shared" ca="1" si="98"/>
        <v>#REF!</v>
      </c>
      <c r="AI90" s="546" t="e">
        <f t="shared" ca="1" si="99"/>
        <v>#REF!</v>
      </c>
      <c r="AJ90" s="546" t="e">
        <f t="shared" ca="1" si="100"/>
        <v>#REF!</v>
      </c>
      <c r="AK90" s="546" t="e">
        <f t="shared" ca="1" si="101"/>
        <v>#REF!</v>
      </c>
      <c r="AL90" s="546" t="e">
        <f t="shared" ca="1" si="102"/>
        <v>#REF!</v>
      </c>
    </row>
    <row r="91" spans="1:38" ht="12.75">
      <c r="A91" s="559" t="s">
        <v>1498</v>
      </c>
      <c r="B91" s="529" t="str">
        <f t="shared" ca="1" si="87"/>
        <v/>
      </c>
      <c r="C91" s="450"/>
      <c r="D91" s="547">
        <v>5</v>
      </c>
      <c r="E91" s="548" t="s">
        <v>340</v>
      </c>
      <c r="F91" s="444" t="e">
        <f t="shared" ca="1" si="88"/>
        <v>#REF!</v>
      </c>
      <c r="G91" s="549" t="e">
        <f t="shared" ca="1" si="89"/>
        <v>#REF!</v>
      </c>
      <c r="H91" s="550" t="str">
        <f t="shared" ca="1" si="90"/>
        <v>-</v>
      </c>
      <c r="I91" s="550" t="str">
        <f t="shared" ca="1" si="91"/>
        <v>-</v>
      </c>
      <c r="J91" s="551" t="e">
        <f t="shared" ca="1" si="92"/>
        <v>#REF!</v>
      </c>
      <c r="K91" s="549" t="e">
        <f t="shared" ca="1" si="93"/>
        <v>#REF!</v>
      </c>
      <c r="L91" s="552"/>
      <c r="M91" s="537">
        <v>1</v>
      </c>
      <c r="N91" s="538" t="e">
        <f t="shared" ca="1" si="66"/>
        <v>#REF!</v>
      </c>
      <c r="O91" s="539" t="e">
        <f t="shared" ca="1" si="67"/>
        <v>#REF!</v>
      </c>
      <c r="P91" s="552"/>
      <c r="Q91" s="537">
        <v>1</v>
      </c>
      <c r="R91" s="538" t="e">
        <f t="shared" ca="1" si="68"/>
        <v>#REF!</v>
      </c>
      <c r="S91" s="553" t="e">
        <f t="shared" ca="1" si="69"/>
        <v>#REF!</v>
      </c>
      <c r="U91" s="572" t="s">
        <v>843</v>
      </c>
      <c r="V91" s="554" t="str">
        <f t="shared" si="49"/>
        <v>entry in questionnaire</v>
      </c>
      <c r="W91" s="554" t="s">
        <v>1491</v>
      </c>
      <c r="X91" s="433">
        <v>1</v>
      </c>
      <c r="Y91" s="433">
        <v>1</v>
      </c>
      <c r="Z91" s="433">
        <v>1</v>
      </c>
      <c r="AA91" s="433">
        <v>1</v>
      </c>
      <c r="AB91" s="433">
        <v>1</v>
      </c>
      <c r="AC91" s="498" t="e">
        <f t="shared" ca="1" si="70"/>
        <v>#REF!</v>
      </c>
      <c r="AD91" s="542" t="e">
        <f t="shared" ca="1" si="94"/>
        <v>#REF!</v>
      </c>
      <c r="AE91" s="543" t="e">
        <f t="shared" ca="1" si="95"/>
        <v>#REF!</v>
      </c>
      <c r="AF91" s="544" t="e">
        <f t="shared" ca="1" si="96"/>
        <v>#REF!</v>
      </c>
      <c r="AG91" s="545" t="e">
        <f t="shared" ca="1" si="97"/>
        <v>#REF!</v>
      </c>
      <c r="AH91" s="546" t="e">
        <f t="shared" ca="1" si="98"/>
        <v>#REF!</v>
      </c>
      <c r="AI91" s="546" t="e">
        <f t="shared" ca="1" si="99"/>
        <v>#REF!</v>
      </c>
      <c r="AJ91" s="546" t="e">
        <f t="shared" ca="1" si="100"/>
        <v>#REF!</v>
      </c>
      <c r="AK91" s="546" t="e">
        <f t="shared" ca="1" si="101"/>
        <v>#REF!</v>
      </c>
      <c r="AL91" s="546" t="e">
        <f t="shared" ca="1" si="102"/>
        <v>#REF!</v>
      </c>
    </row>
    <row r="92" spans="1:38" ht="12.75">
      <c r="A92" s="563" t="s">
        <v>1499</v>
      </c>
      <c r="B92" s="529" t="str">
        <f t="shared" ca="1" si="87"/>
        <v/>
      </c>
      <c r="C92" s="450"/>
      <c r="D92" s="547">
        <v>5</v>
      </c>
      <c r="E92" s="548" t="s">
        <v>340</v>
      </c>
      <c r="F92" s="444" t="e">
        <f t="shared" ca="1" si="88"/>
        <v>#REF!</v>
      </c>
      <c r="G92" s="549" t="e">
        <f t="shared" ca="1" si="89"/>
        <v>#REF!</v>
      </c>
      <c r="H92" s="550" t="str">
        <f t="shared" ca="1" si="90"/>
        <v>-</v>
      </c>
      <c r="I92" s="550" t="str">
        <f t="shared" ca="1" si="91"/>
        <v>-</v>
      </c>
      <c r="J92" s="551" t="e">
        <f t="shared" ca="1" si="92"/>
        <v>#REF!</v>
      </c>
      <c r="K92" s="549" t="e">
        <f t="shared" ca="1" si="93"/>
        <v>#REF!</v>
      </c>
      <c r="L92" s="552" t="e">
        <f>INDEX(Substrates!$AP$126:$AV$139,1,MATCH('X-Exchange'!$U92,Substrates!$AP$139:$AV$139,0))</f>
        <v>#DIV/0!</v>
      </c>
      <c r="M92" s="537">
        <v>1</v>
      </c>
      <c r="N92" s="538" t="e">
        <f t="shared" ca="1" si="66"/>
        <v>#REF!</v>
      </c>
      <c r="O92" s="539" t="e">
        <f t="shared" ca="1" si="67"/>
        <v>#REF!</v>
      </c>
      <c r="P92" s="552">
        <f>INDEX(Substrates!$AM$126:$AO$126,1,MATCH('X-Exchange'!$U92,Substrates!$AM$139:$AO$139,0))</f>
        <v>0</v>
      </c>
      <c r="Q92" s="537">
        <v>1</v>
      </c>
      <c r="R92" s="538" t="e">
        <f t="shared" ca="1" si="68"/>
        <v>#REF!</v>
      </c>
      <c r="S92" s="553" t="e">
        <f t="shared" ca="1" si="69"/>
        <v>#REF!</v>
      </c>
      <c r="U92" s="572" t="s">
        <v>1183</v>
      </c>
      <c r="V92" s="554" t="str">
        <f t="shared" si="49"/>
        <v>entry in questionnaire</v>
      </c>
      <c r="W92" s="554" t="s">
        <v>1491</v>
      </c>
      <c r="X92" s="433">
        <v>1</v>
      </c>
      <c r="Y92" s="433">
        <v>1</v>
      </c>
      <c r="Z92" s="433">
        <v>1</v>
      </c>
      <c r="AA92" s="433">
        <v>1</v>
      </c>
      <c r="AB92" s="433">
        <v>1</v>
      </c>
      <c r="AC92" s="498" t="e">
        <f t="shared" ca="1" si="70"/>
        <v>#REF!</v>
      </c>
      <c r="AD92" s="542" t="e">
        <f t="shared" ca="1" si="94"/>
        <v>#REF!</v>
      </c>
      <c r="AE92" s="543" t="e">
        <f t="shared" ca="1" si="95"/>
        <v>#REF!</v>
      </c>
      <c r="AF92" s="544" t="e">
        <f t="shared" ca="1" si="96"/>
        <v>#REF!</v>
      </c>
      <c r="AG92" s="545" t="e">
        <f t="shared" ca="1" si="97"/>
        <v>#REF!</v>
      </c>
      <c r="AH92" s="546" t="e">
        <f t="shared" ca="1" si="98"/>
        <v>#REF!</v>
      </c>
      <c r="AI92" s="546" t="e">
        <f t="shared" ca="1" si="99"/>
        <v>#REF!</v>
      </c>
      <c r="AJ92" s="546" t="e">
        <f t="shared" ca="1" si="100"/>
        <v>#REF!</v>
      </c>
      <c r="AK92" s="546" t="e">
        <f t="shared" ca="1" si="101"/>
        <v>#REF!</v>
      </c>
      <c r="AL92" s="546" t="e">
        <f t="shared" ca="1" si="102"/>
        <v>#REF!</v>
      </c>
    </row>
    <row r="93" spans="1:38" ht="12.75">
      <c r="A93" s="559" t="s">
        <v>1500</v>
      </c>
      <c r="B93" s="529" t="str">
        <f t="shared" ca="1" si="87"/>
        <v/>
      </c>
      <c r="C93" s="450"/>
      <c r="D93" s="547">
        <v>5</v>
      </c>
      <c r="E93" s="548" t="s">
        <v>340</v>
      </c>
      <c r="F93" s="444" t="e">
        <f t="shared" ca="1" si="88"/>
        <v>#REF!</v>
      </c>
      <c r="G93" s="549" t="e">
        <f t="shared" ca="1" si="89"/>
        <v>#REF!</v>
      </c>
      <c r="H93" s="550" t="str">
        <f t="shared" ca="1" si="90"/>
        <v>-</v>
      </c>
      <c r="I93" s="550" t="str">
        <f t="shared" ca="1" si="91"/>
        <v>-</v>
      </c>
      <c r="J93" s="551" t="e">
        <f t="shared" ca="1" si="92"/>
        <v>#REF!</v>
      </c>
      <c r="K93" s="549" t="e">
        <f t="shared" ca="1" si="93"/>
        <v>#REF!</v>
      </c>
      <c r="L93" s="575" t="e">
        <f>Substrates!AQ126</f>
        <v>#N/A</v>
      </c>
      <c r="M93" s="537">
        <v>1</v>
      </c>
      <c r="N93" s="538" t="e">
        <f t="shared" ca="1" si="66"/>
        <v>#REF!</v>
      </c>
      <c r="O93" s="539" t="e">
        <f t="shared" ca="1" si="67"/>
        <v>#REF!</v>
      </c>
      <c r="P93" s="552">
        <f>INDEX(Substrates!$AM$126:$AO$126,1,MATCH('X-Exchange'!$U93,Substrates!$AM$139:$AO$139,0))</f>
        <v>0</v>
      </c>
      <c r="Q93" s="537">
        <v>1</v>
      </c>
      <c r="R93" s="538" t="e">
        <f t="shared" ca="1" si="68"/>
        <v>#REF!</v>
      </c>
      <c r="S93" s="553" t="e">
        <f t="shared" ca="1" si="69"/>
        <v>#REF!</v>
      </c>
      <c r="U93" s="572" t="s">
        <v>844</v>
      </c>
      <c r="V93" s="554" t="str">
        <f t="shared" si="49"/>
        <v>entry in questionnaire</v>
      </c>
      <c r="W93" s="554" t="s">
        <v>1491</v>
      </c>
      <c r="X93" s="433">
        <v>1</v>
      </c>
      <c r="Y93" s="433">
        <v>1</v>
      </c>
      <c r="Z93" s="433">
        <v>1</v>
      </c>
      <c r="AA93" s="433">
        <v>1</v>
      </c>
      <c r="AB93" s="433">
        <v>1</v>
      </c>
      <c r="AC93" s="498" t="e">
        <f t="shared" ca="1" si="70"/>
        <v>#REF!</v>
      </c>
      <c r="AD93" s="542" t="e">
        <f t="shared" ca="1" si="94"/>
        <v>#REF!</v>
      </c>
      <c r="AE93" s="543" t="e">
        <f t="shared" ca="1" si="95"/>
        <v>#REF!</v>
      </c>
      <c r="AF93" s="544" t="e">
        <f t="shared" ca="1" si="96"/>
        <v>#REF!</v>
      </c>
      <c r="AG93" s="545" t="e">
        <f t="shared" ca="1" si="97"/>
        <v>#REF!</v>
      </c>
      <c r="AH93" s="546" t="e">
        <f t="shared" ca="1" si="98"/>
        <v>#REF!</v>
      </c>
      <c r="AI93" s="546" t="e">
        <f t="shared" ca="1" si="99"/>
        <v>#REF!</v>
      </c>
      <c r="AJ93" s="546" t="e">
        <f t="shared" ca="1" si="100"/>
        <v>#REF!</v>
      </c>
      <c r="AK93" s="546" t="e">
        <f t="shared" ca="1" si="101"/>
        <v>#REF!</v>
      </c>
      <c r="AL93" s="546" t="e">
        <f t="shared" ca="1" si="102"/>
        <v>#REF!</v>
      </c>
    </row>
    <row r="94" spans="1:38" ht="12.75">
      <c r="A94" s="559" t="s">
        <v>1500</v>
      </c>
      <c r="B94" s="529" t="str">
        <f t="shared" ref="B94" ca="1" si="103">IF(OR(D94&lt;&gt;D93,E94&lt;&gt;E93,H94&lt;&gt;H93,I94&lt;&gt;I93),IF(D94=5,"technosphere",IF(D94=4,H94&amp;", "&amp;I94,"emission "&amp;H94&amp;", "&amp;I94)),"")</f>
        <v/>
      </c>
      <c r="C94" s="450"/>
      <c r="D94" s="547">
        <v>5</v>
      </c>
      <c r="E94" s="548" t="s">
        <v>340</v>
      </c>
      <c r="F94" s="444" t="e">
        <f t="shared" ref="F94" ca="1" si="104">IF(OR(D94=4,E94=4),INDEX(INDIRECT(names&amp;"NamesElementary'!$1:$65536"),MATCH(A94,INDIRECT(names&amp;"NamesElementary'!$A:$A"),0),2),INDEX(INDIRECT(names&amp;"Names'!$1:$65536"),MATCH(A94,INDIRECT(names&amp;"Names'!$F:$F"),0),10))</f>
        <v>#REF!</v>
      </c>
      <c r="G94" s="549" t="e">
        <f t="shared" ref="G94" ca="1" si="105">IF(OR(D94=4,E94=4),"-",INDEX(INDIRECT(names&amp;"Names'!$1:$65536"),MATCH(A94,INDIRECT(names&amp;"Names'!$F:$F"),0),11))</f>
        <v>#REF!</v>
      </c>
      <c r="H94" s="550" t="str">
        <f t="shared" ref="H94" ca="1" si="106">IF(OR(D94=4,E94=4),INDEX(INDIRECT(names&amp;"NamesElementary'!$1:$65536"),MATCH($A94,INDIRECT(names&amp;"NamesElementary'!$A:$A"),0),4),"-")</f>
        <v>-</v>
      </c>
      <c r="I94" s="550" t="str">
        <f t="shared" ref="I94" ca="1" si="107">IF(OR(D94=4,E94=4),INDEX(INDIRECT(names&amp;"NamesElementary'!$1:$65536"),MATCH($A94,INDIRECT(names&amp;"NamesElementary'!$A:$A"),0),5),"-")</f>
        <v>-</v>
      </c>
      <c r="J94" s="551" t="e">
        <f t="shared" ref="J94" ca="1" si="108">IF(OR(D94=4,E94=4),"-",INDEX(INDIRECT(names&amp;"Names'!$1:$65536"),MATCH(A94,INDIRECT(names&amp;"Names'!$F:$F"),0),14))</f>
        <v>#REF!</v>
      </c>
      <c r="K94" s="549" t="e">
        <f t="shared" ref="K94" ca="1" si="109">IF(OR(D94=4,E94=4),INDEX(INDIRECT(names&amp;"NamesElementary'!$1:$65536"),MATCH(A94,INDIRECT(names&amp;"NamesElementary'!$A:$A"),0),7),INDEX(INDIRECT(names&amp;"Names'!$1:$65536"),MATCH(A94,INDIRECT(names&amp;"Names'!$F:$F"),0),15))</f>
        <v>#REF!</v>
      </c>
      <c r="L94" s="575" t="e">
        <f>Substrates!AR126</f>
        <v>#N/A</v>
      </c>
      <c r="M94" s="537">
        <v>1</v>
      </c>
      <c r="N94" s="538" t="e">
        <f t="shared" ca="1" si="66"/>
        <v>#REF!</v>
      </c>
      <c r="O94" s="539" t="e">
        <f t="shared" ca="1" si="67"/>
        <v>#REF!</v>
      </c>
      <c r="P94" s="552"/>
      <c r="Q94" s="537">
        <v>1</v>
      </c>
      <c r="R94" s="538" t="e">
        <f t="shared" ca="1" si="68"/>
        <v>#REF!</v>
      </c>
      <c r="S94" s="553" t="e">
        <f t="shared" ca="1" si="69"/>
        <v>#REF!</v>
      </c>
      <c r="U94" s="572" t="s">
        <v>844</v>
      </c>
      <c r="V94" s="554" t="str">
        <f t="shared" si="49"/>
        <v>entry in questionnaire</v>
      </c>
      <c r="W94" s="554" t="s">
        <v>1491</v>
      </c>
      <c r="X94" s="433">
        <v>1</v>
      </c>
      <c r="Y94" s="433">
        <v>1</v>
      </c>
      <c r="Z94" s="433">
        <v>1</v>
      </c>
      <c r="AA94" s="433">
        <v>1</v>
      </c>
      <c r="AB94" s="433">
        <v>1</v>
      </c>
      <c r="AC94" s="498" t="e">
        <f t="shared" ca="1" si="70"/>
        <v>#REF!</v>
      </c>
      <c r="AD94" s="542" t="e">
        <f t="shared" ref="AD94" ca="1" si="110">INDEX(INDIRECT(names&amp;"BasicUncertainty'!$1:$65536"),MATCH(AC94,INDIRECT(names&amp;"BasicUncertainty'!B:B"),0),8)</f>
        <v>#REF!</v>
      </c>
      <c r="AE94" s="543" t="e">
        <f t="shared" ref="AE94" ca="1" si="111">EXP(SQRT((LN(AH94)^2)+(LN(AI94)^2)+(LN(AJ94)^2)+(LN(AK94)^2)+(LN(AL94)^2)))</f>
        <v>#REF!</v>
      </c>
      <c r="AF94" s="544" t="e">
        <f t="shared" ref="AF94" ca="1" si="112">EXP(SQRT((LN(AH94)^2)+(LN(AI94)^2)+(LN(AJ94)^2)+(LN(AK94)^2)+(LN(AL94)^2)+(LN(AD94)^2)))</f>
        <v>#REF!</v>
      </c>
      <c r="AG94" s="545" t="e">
        <f t="shared" ref="AG94" ca="1" si="113">CONCATENATE("(",X94,",",Y94,",",Z94,",",AA94,",",AB94,",BU:",AD94,")")</f>
        <v>#REF!</v>
      </c>
      <c r="AH94" s="546" t="e">
        <f t="shared" ref="AH94" ca="1" si="114">IF(X94=1,INDIRECT(names&amp;"SDG^2 values'!$B$4"),IF(X94=2,INDIRECT(names&amp;"SDG^2 values'!$C$4"),IF(X94=3,INDIRECT(names&amp;"SDG^2 values'!$D$4"),IF(X94=4,INDIRECT(names&amp;"SDG^2 values'!$E$4"),IF(X94=5,INDIRECT(names&amp;"SDG^2 values'!$F$4"),1)))))</f>
        <v>#REF!</v>
      </c>
      <c r="AI94" s="546" t="e">
        <f t="shared" ref="AI94" ca="1" si="115">IF(Y94=1,INDIRECT(names&amp;"SDG^2 values'!$B$5"),IF(Y94=2,INDIRECT(names&amp;"SDG^2 values'!$C$5"),IF(Y94=3,INDIRECT(names&amp;"SDG^2 values'!$D$5"),IF(Y94=4,INDIRECT(names&amp;"SDG^2 values'!$E$5"),IF(Y94=5,INDIRECT(names&amp;"SDG^2 values'!$F$5"),1)))))</f>
        <v>#REF!</v>
      </c>
      <c r="AJ94" s="546" t="e">
        <f t="shared" ref="AJ94" ca="1" si="116">IF(Z94=1,INDIRECT(names&amp;"SDG^2 values'!$B$6"),IF(Z94=2,INDIRECT(names&amp;"SDG^2 values'!$C$6"),IF(Z94=3,INDIRECT(names&amp;"SDG^2 values'!$D$6"),IF(Z94=4,INDIRECT(names&amp;"SDG^2 values'!$E$6"),IF(Z94=5,INDIRECT(names&amp;"SDG^2 values'!$F$6"),1)))))</f>
        <v>#REF!</v>
      </c>
      <c r="AK94" s="546" t="e">
        <f t="shared" ref="AK94" ca="1" si="117">IF(AA94=1,INDIRECT(names&amp;"SDG^2 values'!$B$7"),IF(AA94=2,INDIRECT(names&amp;"SDG^2 values'!$C$7"),IF(AA94=3,INDIRECT(names&amp;"SDG^2 values'!$D$7"),IF(AA94=4,INDIRECT(names&amp;"SDG^2 values'!$E$7"),IF(AA94=5,INDIRECT(names&amp;"SDG^2 values'!$F$7"),1)))))</f>
        <v>#REF!</v>
      </c>
      <c r="AL94" s="546" t="e">
        <f t="shared" ref="AL94" ca="1" si="118">IF(AB94=1,INDIRECT(names&amp;"SDG^2 values'!$B$8"),IF(AB94=2,INDIRECT(names&amp;"SDG^2 values'!$C$8"),IF(AB94=3,INDIRECT(names&amp;"SDG^2 values'!$D$8"),IF(AB94=4,INDIRECT(names&amp;"SDG^2 values'!$E$8"),IF(AB94=5,INDIRECT(names&amp;"SDG^2 values'!$F$8"),1)))))</f>
        <v>#REF!</v>
      </c>
    </row>
    <row r="95" spans="1:38" ht="12.75">
      <c r="A95" s="559" t="s">
        <v>1501</v>
      </c>
      <c r="B95" s="529" t="str">
        <f ca="1">IF(OR(D95&lt;&gt;D93,E95&lt;&gt;E93,H95&lt;&gt;H93,I95&lt;&gt;I93),IF(D95=5,"technosphere",IF(D95=4,H95&amp;", "&amp;I95,"emission "&amp;H95&amp;", "&amp;I95)),"")</f>
        <v/>
      </c>
      <c r="C95" s="450"/>
      <c r="D95" s="547">
        <v>5</v>
      </c>
      <c r="E95" s="548" t="s">
        <v>340</v>
      </c>
      <c r="F95" s="444" t="e">
        <f t="shared" ca="1" si="88"/>
        <v>#REF!</v>
      </c>
      <c r="G95" s="549" t="e">
        <f t="shared" ca="1" si="89"/>
        <v>#REF!</v>
      </c>
      <c r="H95" s="550" t="str">
        <f t="shared" ca="1" si="90"/>
        <v>-</v>
      </c>
      <c r="I95" s="550" t="str">
        <f t="shared" ca="1" si="91"/>
        <v>-</v>
      </c>
      <c r="J95" s="551" t="e">
        <f t="shared" ca="1" si="92"/>
        <v>#REF!</v>
      </c>
      <c r="K95" s="549" t="e">
        <f t="shared" ca="1" si="93"/>
        <v>#REF!</v>
      </c>
      <c r="L95" s="552" t="e">
        <f>INDEX(Substrates!$AP$126:$AV$139,1,MATCH('X-Exchange'!$U95,Substrates!$AP$139:$AV$139,0))</f>
        <v>#N/A</v>
      </c>
      <c r="M95" s="537">
        <v>1</v>
      </c>
      <c r="N95" s="538" t="e">
        <f t="shared" ca="1" si="66"/>
        <v>#REF!</v>
      </c>
      <c r="O95" s="539" t="e">
        <f t="shared" ca="1" si="67"/>
        <v>#REF!</v>
      </c>
      <c r="P95" s="552"/>
      <c r="Q95" s="537">
        <v>1</v>
      </c>
      <c r="R95" s="538" t="e">
        <f t="shared" ca="1" si="68"/>
        <v>#REF!</v>
      </c>
      <c r="S95" s="553" t="e">
        <f t="shared" ca="1" si="69"/>
        <v>#REF!</v>
      </c>
      <c r="U95" s="572" t="s">
        <v>845</v>
      </c>
      <c r="V95" s="554" t="str">
        <f t="shared" si="49"/>
        <v>entry in questionnaire</v>
      </c>
      <c r="W95" s="554" t="s">
        <v>1491</v>
      </c>
      <c r="X95" s="433">
        <v>1</v>
      </c>
      <c r="Y95" s="433">
        <v>1</v>
      </c>
      <c r="Z95" s="433">
        <v>1</v>
      </c>
      <c r="AA95" s="433">
        <v>1</v>
      </c>
      <c r="AB95" s="433">
        <v>1</v>
      </c>
      <c r="AC95" s="498" t="e">
        <f t="shared" ca="1" si="70"/>
        <v>#REF!</v>
      </c>
      <c r="AD95" s="542" t="e">
        <f t="shared" ca="1" si="94"/>
        <v>#REF!</v>
      </c>
      <c r="AE95" s="543" t="e">
        <f t="shared" ca="1" si="95"/>
        <v>#REF!</v>
      </c>
      <c r="AF95" s="544" t="e">
        <f t="shared" ca="1" si="96"/>
        <v>#REF!</v>
      </c>
      <c r="AG95" s="545" t="e">
        <f t="shared" ca="1" si="97"/>
        <v>#REF!</v>
      </c>
      <c r="AH95" s="546" t="e">
        <f t="shared" ca="1" si="98"/>
        <v>#REF!</v>
      </c>
      <c r="AI95" s="546" t="e">
        <f t="shared" ca="1" si="99"/>
        <v>#REF!</v>
      </c>
      <c r="AJ95" s="546" t="e">
        <f t="shared" ca="1" si="100"/>
        <v>#REF!</v>
      </c>
      <c r="AK95" s="546" t="e">
        <f t="shared" ca="1" si="101"/>
        <v>#REF!</v>
      </c>
      <c r="AL95" s="546" t="e">
        <f t="shared" ca="1" si="102"/>
        <v>#REF!</v>
      </c>
    </row>
    <row r="96" spans="1:38" ht="12.75">
      <c r="A96" s="559" t="s">
        <v>1443</v>
      </c>
      <c r="B96" s="529" t="str">
        <f t="shared" ca="1" si="87"/>
        <v/>
      </c>
      <c r="C96" s="450"/>
      <c r="D96" s="547">
        <v>5</v>
      </c>
      <c r="E96" s="548" t="s">
        <v>340</v>
      </c>
      <c r="F96" s="444" t="e">
        <f t="shared" ca="1" si="88"/>
        <v>#REF!</v>
      </c>
      <c r="G96" s="549" t="e">
        <f t="shared" ca="1" si="89"/>
        <v>#REF!</v>
      </c>
      <c r="H96" s="550" t="str">
        <f t="shared" ca="1" si="90"/>
        <v>-</v>
      </c>
      <c r="I96" s="550" t="str">
        <f t="shared" ca="1" si="91"/>
        <v>-</v>
      </c>
      <c r="J96" s="551" t="e">
        <f t="shared" ca="1" si="92"/>
        <v>#REF!</v>
      </c>
      <c r="K96" s="549" t="e">
        <f t="shared" ca="1" si="93"/>
        <v>#REF!</v>
      </c>
      <c r="L96" s="552" t="e">
        <f>INDEX(Substrates!$AP$126:$AV$139,1,MATCH('X-Exchange'!$U96,Substrates!$AP$139:$AV$139,0))</f>
        <v>#N/A</v>
      </c>
      <c r="M96" s="537">
        <v>1</v>
      </c>
      <c r="N96" s="538" t="e">
        <f t="shared" ca="1" si="66"/>
        <v>#REF!</v>
      </c>
      <c r="O96" s="539" t="e">
        <f t="shared" ca="1" si="67"/>
        <v>#REF!</v>
      </c>
      <c r="P96" s="552"/>
      <c r="Q96" s="537">
        <v>1</v>
      </c>
      <c r="R96" s="538" t="e">
        <f t="shared" ca="1" si="68"/>
        <v>#REF!</v>
      </c>
      <c r="S96" s="553" t="e">
        <f t="shared" ca="1" si="69"/>
        <v>#REF!</v>
      </c>
      <c r="U96" s="572" t="s">
        <v>846</v>
      </c>
      <c r="V96" s="554" t="str">
        <f t="shared" si="49"/>
        <v>entry in questionnaire</v>
      </c>
      <c r="W96" s="554" t="s">
        <v>1491</v>
      </c>
      <c r="X96" s="433">
        <v>1</v>
      </c>
      <c r="Y96" s="433">
        <v>1</v>
      </c>
      <c r="Z96" s="433">
        <v>1</v>
      </c>
      <c r="AA96" s="433">
        <v>1</v>
      </c>
      <c r="AB96" s="433">
        <v>1</v>
      </c>
      <c r="AC96" s="498" t="e">
        <f t="shared" ca="1" si="70"/>
        <v>#REF!</v>
      </c>
      <c r="AD96" s="542" t="e">
        <f t="shared" ca="1" si="94"/>
        <v>#REF!</v>
      </c>
      <c r="AE96" s="543" t="e">
        <f t="shared" ca="1" si="95"/>
        <v>#REF!</v>
      </c>
      <c r="AF96" s="544" t="e">
        <f t="shared" ca="1" si="96"/>
        <v>#REF!</v>
      </c>
      <c r="AG96" s="545" t="e">
        <f t="shared" ca="1" si="97"/>
        <v>#REF!</v>
      </c>
      <c r="AH96" s="546" t="e">
        <f t="shared" ca="1" si="98"/>
        <v>#REF!</v>
      </c>
      <c r="AI96" s="546" t="e">
        <f t="shared" ca="1" si="99"/>
        <v>#REF!</v>
      </c>
      <c r="AJ96" s="546" t="e">
        <f t="shared" ca="1" si="100"/>
        <v>#REF!</v>
      </c>
      <c r="AK96" s="546" t="e">
        <f t="shared" ca="1" si="101"/>
        <v>#REF!</v>
      </c>
      <c r="AL96" s="546" t="e">
        <f t="shared" ca="1" si="102"/>
        <v>#REF!</v>
      </c>
    </row>
    <row r="97" spans="1:38" ht="12.75">
      <c r="A97" s="559" t="s">
        <v>1502</v>
      </c>
      <c r="B97" s="529" t="str">
        <f t="shared" ca="1" si="87"/>
        <v/>
      </c>
      <c r="C97" s="450"/>
      <c r="D97" s="547">
        <v>5</v>
      </c>
      <c r="E97" s="548" t="s">
        <v>340</v>
      </c>
      <c r="F97" s="444" t="e">
        <f t="shared" ca="1" si="88"/>
        <v>#REF!</v>
      </c>
      <c r="G97" s="549" t="e">
        <f t="shared" ca="1" si="89"/>
        <v>#REF!</v>
      </c>
      <c r="H97" s="550" t="str">
        <f t="shared" ca="1" si="90"/>
        <v>-</v>
      </c>
      <c r="I97" s="550" t="str">
        <f t="shared" ca="1" si="91"/>
        <v>-</v>
      </c>
      <c r="J97" s="551" t="e">
        <f t="shared" ca="1" si="92"/>
        <v>#REF!</v>
      </c>
      <c r="K97" s="549" t="e">
        <f t="shared" ca="1" si="93"/>
        <v>#REF!</v>
      </c>
      <c r="L97" s="552"/>
      <c r="M97" s="537">
        <v>1</v>
      </c>
      <c r="N97" s="538" t="e">
        <f t="shared" ca="1" si="66"/>
        <v>#REF!</v>
      </c>
      <c r="O97" s="539" t="e">
        <f t="shared" ca="1" si="67"/>
        <v>#REF!</v>
      </c>
      <c r="P97" s="552"/>
      <c r="Q97" s="537">
        <v>1</v>
      </c>
      <c r="R97" s="538" t="e">
        <f t="shared" ca="1" si="68"/>
        <v>#REF!</v>
      </c>
      <c r="S97" s="553" t="e">
        <f t="shared" ca="1" si="69"/>
        <v>#REF!</v>
      </c>
      <c r="U97" s="572" t="s">
        <v>847</v>
      </c>
      <c r="V97" s="554" t="str">
        <f t="shared" si="49"/>
        <v>entry in questionnaire</v>
      </c>
      <c r="W97" s="554" t="s">
        <v>1491</v>
      </c>
      <c r="X97" s="433">
        <v>1</v>
      </c>
      <c r="Y97" s="433">
        <v>1</v>
      </c>
      <c r="Z97" s="433">
        <v>1</v>
      </c>
      <c r="AA97" s="433">
        <v>1</v>
      </c>
      <c r="AB97" s="433">
        <v>1</v>
      </c>
      <c r="AC97" s="498" t="e">
        <f t="shared" ca="1" si="70"/>
        <v>#REF!</v>
      </c>
      <c r="AD97" s="542" t="e">
        <f t="shared" ca="1" si="94"/>
        <v>#REF!</v>
      </c>
      <c r="AE97" s="543" t="e">
        <f t="shared" ca="1" si="95"/>
        <v>#REF!</v>
      </c>
      <c r="AF97" s="544" t="e">
        <f t="shared" ca="1" si="96"/>
        <v>#REF!</v>
      </c>
      <c r="AG97" s="545" t="e">
        <f t="shared" ca="1" si="97"/>
        <v>#REF!</v>
      </c>
      <c r="AH97" s="546" t="e">
        <f t="shared" ca="1" si="98"/>
        <v>#REF!</v>
      </c>
      <c r="AI97" s="546" t="e">
        <f t="shared" ca="1" si="99"/>
        <v>#REF!</v>
      </c>
      <c r="AJ97" s="546" t="e">
        <f t="shared" ca="1" si="100"/>
        <v>#REF!</v>
      </c>
      <c r="AK97" s="546" t="e">
        <f t="shared" ca="1" si="101"/>
        <v>#REF!</v>
      </c>
      <c r="AL97" s="546" t="e">
        <f t="shared" ca="1" si="102"/>
        <v>#REF!</v>
      </c>
    </row>
    <row r="98" spans="1:38" ht="12.75">
      <c r="A98" s="559" t="s">
        <v>1503</v>
      </c>
      <c r="B98" s="529" t="str">
        <f t="shared" ca="1" si="87"/>
        <v/>
      </c>
      <c r="C98" s="450"/>
      <c r="D98" s="547">
        <v>5</v>
      </c>
      <c r="E98" s="548" t="s">
        <v>340</v>
      </c>
      <c r="F98" s="444" t="e">
        <f t="shared" ca="1" si="88"/>
        <v>#REF!</v>
      </c>
      <c r="G98" s="549" t="e">
        <f t="shared" ca="1" si="89"/>
        <v>#REF!</v>
      </c>
      <c r="H98" s="550" t="str">
        <f t="shared" ca="1" si="90"/>
        <v>-</v>
      </c>
      <c r="I98" s="550" t="str">
        <f t="shared" ca="1" si="91"/>
        <v>-</v>
      </c>
      <c r="J98" s="551" t="e">
        <f t="shared" ca="1" si="92"/>
        <v>#REF!</v>
      </c>
      <c r="K98" s="549" t="e">
        <f t="shared" ca="1" si="93"/>
        <v>#REF!</v>
      </c>
      <c r="L98" s="552"/>
      <c r="M98" s="537">
        <v>1</v>
      </c>
      <c r="N98" s="538" t="e">
        <f t="shared" ca="1" si="66"/>
        <v>#REF!</v>
      </c>
      <c r="O98" s="539" t="e">
        <f t="shared" ca="1" si="67"/>
        <v>#REF!</v>
      </c>
      <c r="P98" s="552"/>
      <c r="Q98" s="537">
        <v>1</v>
      </c>
      <c r="R98" s="538" t="e">
        <f t="shared" ca="1" si="68"/>
        <v>#REF!</v>
      </c>
      <c r="S98" s="553" t="e">
        <f t="shared" ca="1" si="69"/>
        <v>#REF!</v>
      </c>
      <c r="U98" s="572" t="s">
        <v>848</v>
      </c>
      <c r="V98" s="554" t="str">
        <f t="shared" si="49"/>
        <v>entry in questionnaire</v>
      </c>
      <c r="W98" s="554" t="s">
        <v>1491</v>
      </c>
      <c r="X98" s="433">
        <v>1</v>
      </c>
      <c r="Y98" s="433">
        <v>1</v>
      </c>
      <c r="Z98" s="433">
        <v>1</v>
      </c>
      <c r="AA98" s="433">
        <v>1</v>
      </c>
      <c r="AB98" s="433">
        <v>1</v>
      </c>
      <c r="AC98" s="498" t="e">
        <f t="shared" ca="1" si="70"/>
        <v>#REF!</v>
      </c>
      <c r="AD98" s="542" t="e">
        <f t="shared" ca="1" si="94"/>
        <v>#REF!</v>
      </c>
      <c r="AE98" s="543" t="e">
        <f t="shared" ca="1" si="95"/>
        <v>#REF!</v>
      </c>
      <c r="AF98" s="544" t="e">
        <f t="shared" ca="1" si="96"/>
        <v>#REF!</v>
      </c>
      <c r="AG98" s="545" t="e">
        <f t="shared" ca="1" si="97"/>
        <v>#REF!</v>
      </c>
      <c r="AH98" s="546" t="e">
        <f t="shared" ca="1" si="98"/>
        <v>#REF!</v>
      </c>
      <c r="AI98" s="546" t="e">
        <f t="shared" ca="1" si="99"/>
        <v>#REF!</v>
      </c>
      <c r="AJ98" s="546" t="e">
        <f t="shared" ca="1" si="100"/>
        <v>#REF!</v>
      </c>
      <c r="AK98" s="546" t="e">
        <f t="shared" ca="1" si="101"/>
        <v>#REF!</v>
      </c>
      <c r="AL98" s="546" t="e">
        <f t="shared" ca="1" si="102"/>
        <v>#REF!</v>
      </c>
    </row>
    <row r="99" spans="1:38" ht="12.75">
      <c r="A99" s="559" t="s">
        <v>1504</v>
      </c>
      <c r="B99" s="529" t="str">
        <f t="shared" ca="1" si="87"/>
        <v/>
      </c>
      <c r="C99" s="450"/>
      <c r="D99" s="547">
        <v>5</v>
      </c>
      <c r="E99" s="548" t="s">
        <v>340</v>
      </c>
      <c r="F99" s="444" t="e">
        <f t="shared" ca="1" si="88"/>
        <v>#REF!</v>
      </c>
      <c r="G99" s="549" t="e">
        <f t="shared" ca="1" si="89"/>
        <v>#REF!</v>
      </c>
      <c r="H99" s="550" t="str">
        <f t="shared" ca="1" si="90"/>
        <v>-</v>
      </c>
      <c r="I99" s="550" t="str">
        <f t="shared" ca="1" si="91"/>
        <v>-</v>
      </c>
      <c r="J99" s="551" t="e">
        <f t="shared" ca="1" si="92"/>
        <v>#REF!</v>
      </c>
      <c r="K99" s="549" t="e">
        <f t="shared" ca="1" si="93"/>
        <v>#REF!</v>
      </c>
      <c r="L99" s="552"/>
      <c r="M99" s="537">
        <v>1</v>
      </c>
      <c r="N99" s="538" t="e">
        <f t="shared" ca="1" si="66"/>
        <v>#REF!</v>
      </c>
      <c r="O99" s="539" t="e">
        <f t="shared" ca="1" si="67"/>
        <v>#REF!</v>
      </c>
      <c r="P99" s="552"/>
      <c r="Q99" s="537">
        <v>1</v>
      </c>
      <c r="R99" s="538" t="e">
        <f t="shared" ca="1" si="68"/>
        <v>#REF!</v>
      </c>
      <c r="S99" s="553" t="e">
        <f t="shared" ca="1" si="69"/>
        <v>#REF!</v>
      </c>
      <c r="U99" s="572" t="s">
        <v>849</v>
      </c>
      <c r="V99" s="554" t="str">
        <f t="shared" si="49"/>
        <v>entry in questionnaire</v>
      </c>
      <c r="W99" s="554" t="s">
        <v>1491</v>
      </c>
      <c r="X99" s="433">
        <v>1</v>
      </c>
      <c r="Y99" s="433">
        <v>1</v>
      </c>
      <c r="Z99" s="433">
        <v>1</v>
      </c>
      <c r="AA99" s="433">
        <v>1</v>
      </c>
      <c r="AB99" s="433">
        <v>1</v>
      </c>
      <c r="AC99" s="498" t="e">
        <f t="shared" ca="1" si="70"/>
        <v>#REF!</v>
      </c>
      <c r="AD99" s="542" t="e">
        <f t="shared" ca="1" si="94"/>
        <v>#REF!</v>
      </c>
      <c r="AE99" s="543" t="e">
        <f t="shared" ca="1" si="95"/>
        <v>#REF!</v>
      </c>
      <c r="AF99" s="544" t="e">
        <f t="shared" ca="1" si="96"/>
        <v>#REF!</v>
      </c>
      <c r="AG99" s="545" t="e">
        <f t="shared" ca="1" si="97"/>
        <v>#REF!</v>
      </c>
      <c r="AH99" s="546" t="e">
        <f t="shared" ca="1" si="98"/>
        <v>#REF!</v>
      </c>
      <c r="AI99" s="546" t="e">
        <f t="shared" ca="1" si="99"/>
        <v>#REF!</v>
      </c>
      <c r="AJ99" s="546" t="e">
        <f t="shared" ca="1" si="100"/>
        <v>#REF!</v>
      </c>
      <c r="AK99" s="546" t="e">
        <f t="shared" ca="1" si="101"/>
        <v>#REF!</v>
      </c>
      <c r="AL99" s="546" t="e">
        <f t="shared" ca="1" si="102"/>
        <v>#REF!</v>
      </c>
    </row>
    <row r="100" spans="1:38" ht="12.75">
      <c r="A100" s="563" t="s">
        <v>1488</v>
      </c>
      <c r="B100" s="529" t="str">
        <f t="shared" ca="1" si="87"/>
        <v/>
      </c>
      <c r="C100" s="450"/>
      <c r="D100" s="547">
        <v>5</v>
      </c>
      <c r="E100" s="548" t="s">
        <v>340</v>
      </c>
      <c r="F100" s="444" t="e">
        <f t="shared" ca="1" si="88"/>
        <v>#REF!</v>
      </c>
      <c r="G100" s="549" t="e">
        <f t="shared" ca="1" si="89"/>
        <v>#REF!</v>
      </c>
      <c r="H100" s="550" t="str">
        <f t="shared" ca="1" si="90"/>
        <v>-</v>
      </c>
      <c r="I100" s="550" t="str">
        <f t="shared" ca="1" si="91"/>
        <v>-</v>
      </c>
      <c r="J100" s="551" t="e">
        <f t="shared" ca="1" si="92"/>
        <v>#REF!</v>
      </c>
      <c r="K100" s="549" t="e">
        <f t="shared" ca="1" si="93"/>
        <v>#REF!</v>
      </c>
      <c r="L100" s="552"/>
      <c r="M100" s="537">
        <v>1</v>
      </c>
      <c r="N100" s="538" t="e">
        <f t="shared" ca="1" si="66"/>
        <v>#REF!</v>
      </c>
      <c r="O100" s="539" t="e">
        <f t="shared" ca="1" si="67"/>
        <v>#REF!</v>
      </c>
      <c r="P100" s="552"/>
      <c r="Q100" s="537">
        <v>1</v>
      </c>
      <c r="R100" s="538" t="e">
        <f t="shared" ca="1" si="68"/>
        <v>#REF!</v>
      </c>
      <c r="S100" s="553" t="e">
        <f t="shared" ca="1" si="69"/>
        <v>#REF!</v>
      </c>
      <c r="U100" s="569" t="s">
        <v>977</v>
      </c>
      <c r="V100" s="554" t="str">
        <f t="shared" si="49"/>
        <v>entry in questionnaire</v>
      </c>
      <c r="W100" s="554" t="s">
        <v>1438</v>
      </c>
      <c r="X100" s="433">
        <v>1</v>
      </c>
      <c r="Y100" s="433">
        <v>1</v>
      </c>
      <c r="Z100" s="433">
        <v>1</v>
      </c>
      <c r="AA100" s="433">
        <v>1</v>
      </c>
      <c r="AB100" s="433">
        <v>1</v>
      </c>
      <c r="AC100" s="498" t="e">
        <f t="shared" ca="1" si="70"/>
        <v>#REF!</v>
      </c>
      <c r="AD100" s="542" t="e">
        <f t="shared" ca="1" si="94"/>
        <v>#REF!</v>
      </c>
      <c r="AE100" s="543" t="e">
        <f t="shared" ca="1" si="95"/>
        <v>#REF!</v>
      </c>
      <c r="AF100" s="544" t="e">
        <f t="shared" ca="1" si="96"/>
        <v>#REF!</v>
      </c>
      <c r="AG100" s="545" t="e">
        <f t="shared" ca="1" si="97"/>
        <v>#REF!</v>
      </c>
      <c r="AH100" s="546" t="e">
        <f t="shared" ca="1" si="98"/>
        <v>#REF!</v>
      </c>
      <c r="AI100" s="546" t="e">
        <f t="shared" ca="1" si="99"/>
        <v>#REF!</v>
      </c>
      <c r="AJ100" s="546" t="e">
        <f t="shared" ca="1" si="100"/>
        <v>#REF!</v>
      </c>
      <c r="AK100" s="546" t="e">
        <f t="shared" ca="1" si="101"/>
        <v>#REF!</v>
      </c>
      <c r="AL100" s="546" t="e">
        <f t="shared" ca="1" si="102"/>
        <v>#REF!</v>
      </c>
    </row>
    <row r="101" spans="1:38" ht="12.75">
      <c r="A101" s="563" t="s">
        <v>1488</v>
      </c>
      <c r="B101" s="529" t="str">
        <f t="shared" ca="1" si="87"/>
        <v/>
      </c>
      <c r="C101" s="450"/>
      <c r="D101" s="547">
        <v>5</v>
      </c>
      <c r="E101" s="548" t="s">
        <v>340</v>
      </c>
      <c r="F101" s="444" t="e">
        <f t="shared" ca="1" si="88"/>
        <v>#REF!</v>
      </c>
      <c r="G101" s="549" t="e">
        <f t="shared" ca="1" si="89"/>
        <v>#REF!</v>
      </c>
      <c r="H101" s="550" t="str">
        <f t="shared" ca="1" si="90"/>
        <v>-</v>
      </c>
      <c r="I101" s="550" t="str">
        <f t="shared" ca="1" si="91"/>
        <v>-</v>
      </c>
      <c r="J101" s="551" t="e">
        <f t="shared" ca="1" si="92"/>
        <v>#REF!</v>
      </c>
      <c r="K101" s="549" t="e">
        <f t="shared" ca="1" si="93"/>
        <v>#REF!</v>
      </c>
      <c r="L101" s="552"/>
      <c r="M101" s="537">
        <v>1</v>
      </c>
      <c r="N101" s="538" t="e">
        <f t="shared" ca="1" si="66"/>
        <v>#REF!</v>
      </c>
      <c r="O101" s="539" t="e">
        <f t="shared" ca="1" si="67"/>
        <v>#REF!</v>
      </c>
      <c r="P101" s="552"/>
      <c r="Q101" s="537">
        <v>1</v>
      </c>
      <c r="R101" s="538" t="e">
        <f t="shared" ca="1" si="68"/>
        <v>#REF!</v>
      </c>
      <c r="S101" s="553" t="e">
        <f t="shared" ca="1" si="69"/>
        <v>#REF!</v>
      </c>
      <c r="U101" s="569" t="s">
        <v>977</v>
      </c>
      <c r="V101" s="554" t="str">
        <f t="shared" si="49"/>
        <v>entry in questionnaire</v>
      </c>
      <c r="W101" s="554" t="s">
        <v>1438</v>
      </c>
      <c r="X101" s="433">
        <v>1</v>
      </c>
      <c r="Y101" s="433">
        <v>1</v>
      </c>
      <c r="Z101" s="433">
        <v>1</v>
      </c>
      <c r="AA101" s="433">
        <v>1</v>
      </c>
      <c r="AB101" s="433">
        <v>1</v>
      </c>
      <c r="AC101" s="498" t="e">
        <f t="shared" ca="1" si="70"/>
        <v>#REF!</v>
      </c>
      <c r="AD101" s="542" t="e">
        <f t="shared" ca="1" si="94"/>
        <v>#REF!</v>
      </c>
      <c r="AE101" s="543" t="e">
        <f t="shared" ca="1" si="95"/>
        <v>#REF!</v>
      </c>
      <c r="AF101" s="544" t="e">
        <f t="shared" ca="1" si="96"/>
        <v>#REF!</v>
      </c>
      <c r="AG101" s="545" t="e">
        <f t="shared" ca="1" si="97"/>
        <v>#REF!</v>
      </c>
      <c r="AH101" s="546" t="e">
        <f t="shared" ca="1" si="98"/>
        <v>#REF!</v>
      </c>
      <c r="AI101" s="546" t="e">
        <f t="shared" ca="1" si="99"/>
        <v>#REF!</v>
      </c>
      <c r="AJ101" s="546" t="e">
        <f t="shared" ca="1" si="100"/>
        <v>#REF!</v>
      </c>
      <c r="AK101" s="546" t="e">
        <f t="shared" ca="1" si="101"/>
        <v>#REF!</v>
      </c>
      <c r="AL101" s="546" t="e">
        <f t="shared" ca="1" si="102"/>
        <v>#REF!</v>
      </c>
    </row>
    <row r="102" spans="1:38" ht="12.75">
      <c r="A102" s="563" t="s">
        <v>1488</v>
      </c>
      <c r="B102" s="529" t="str">
        <f t="shared" ca="1" si="87"/>
        <v/>
      </c>
      <c r="C102" s="450"/>
      <c r="D102" s="547">
        <v>5</v>
      </c>
      <c r="E102" s="548" t="s">
        <v>340</v>
      </c>
      <c r="F102" s="444" t="e">
        <f t="shared" ca="1" si="88"/>
        <v>#REF!</v>
      </c>
      <c r="G102" s="549" t="e">
        <f t="shared" ca="1" si="89"/>
        <v>#REF!</v>
      </c>
      <c r="H102" s="550" t="str">
        <f t="shared" ca="1" si="90"/>
        <v>-</v>
      </c>
      <c r="I102" s="550" t="str">
        <f t="shared" ca="1" si="91"/>
        <v>-</v>
      </c>
      <c r="J102" s="551" t="e">
        <f t="shared" ca="1" si="92"/>
        <v>#REF!</v>
      </c>
      <c r="K102" s="549" t="e">
        <f t="shared" ca="1" si="93"/>
        <v>#REF!</v>
      </c>
      <c r="L102" s="552"/>
      <c r="M102" s="537">
        <v>1</v>
      </c>
      <c r="N102" s="538" t="e">
        <f t="shared" ca="1" si="66"/>
        <v>#REF!</v>
      </c>
      <c r="O102" s="539" t="e">
        <f t="shared" ca="1" si="67"/>
        <v>#REF!</v>
      </c>
      <c r="P102" s="552"/>
      <c r="Q102" s="537">
        <v>1</v>
      </c>
      <c r="R102" s="538" t="e">
        <f t="shared" ca="1" si="68"/>
        <v>#REF!</v>
      </c>
      <c r="S102" s="553" t="e">
        <f t="shared" ca="1" si="69"/>
        <v>#REF!</v>
      </c>
      <c r="U102" s="569" t="s">
        <v>977</v>
      </c>
      <c r="V102" s="554" t="str">
        <f t="shared" si="49"/>
        <v>entry in questionnaire</v>
      </c>
      <c r="W102" s="554" t="s">
        <v>1438</v>
      </c>
      <c r="X102" s="433">
        <v>1</v>
      </c>
      <c r="Y102" s="433">
        <v>1</v>
      </c>
      <c r="Z102" s="433">
        <v>1</v>
      </c>
      <c r="AA102" s="433">
        <v>1</v>
      </c>
      <c r="AB102" s="433">
        <v>1</v>
      </c>
      <c r="AC102" s="498" t="e">
        <f t="shared" ca="1" si="70"/>
        <v>#REF!</v>
      </c>
      <c r="AD102" s="542" t="e">
        <f t="shared" ca="1" si="94"/>
        <v>#REF!</v>
      </c>
      <c r="AE102" s="543" t="e">
        <f t="shared" ca="1" si="95"/>
        <v>#REF!</v>
      </c>
      <c r="AF102" s="544" t="e">
        <f t="shared" ca="1" si="96"/>
        <v>#REF!</v>
      </c>
      <c r="AG102" s="545" t="e">
        <f t="shared" ca="1" si="97"/>
        <v>#REF!</v>
      </c>
      <c r="AH102" s="546" t="e">
        <f t="shared" ca="1" si="98"/>
        <v>#REF!</v>
      </c>
      <c r="AI102" s="546" t="e">
        <f t="shared" ca="1" si="99"/>
        <v>#REF!</v>
      </c>
      <c r="AJ102" s="546" t="e">
        <f t="shared" ca="1" si="100"/>
        <v>#REF!</v>
      </c>
      <c r="AK102" s="546" t="e">
        <f t="shared" ca="1" si="101"/>
        <v>#REF!</v>
      </c>
      <c r="AL102" s="546" t="e">
        <f t="shared" ca="1" si="102"/>
        <v>#REF!</v>
      </c>
    </row>
    <row r="103" spans="1:38" ht="12.75">
      <c r="A103" s="563" t="s">
        <v>1488</v>
      </c>
      <c r="B103" s="529" t="str">
        <f t="shared" ca="1" si="87"/>
        <v/>
      </c>
      <c r="C103" s="450"/>
      <c r="D103" s="547">
        <v>5</v>
      </c>
      <c r="E103" s="548" t="s">
        <v>340</v>
      </c>
      <c r="F103" s="444" t="e">
        <f t="shared" ca="1" si="88"/>
        <v>#REF!</v>
      </c>
      <c r="G103" s="549" t="e">
        <f t="shared" ca="1" si="89"/>
        <v>#REF!</v>
      </c>
      <c r="H103" s="550" t="str">
        <f t="shared" ca="1" si="90"/>
        <v>-</v>
      </c>
      <c r="I103" s="550" t="str">
        <f t="shared" ca="1" si="91"/>
        <v>-</v>
      </c>
      <c r="J103" s="551" t="e">
        <f t="shared" ca="1" si="92"/>
        <v>#REF!</v>
      </c>
      <c r="K103" s="549" t="e">
        <f t="shared" ca="1" si="93"/>
        <v>#REF!</v>
      </c>
      <c r="L103" s="552"/>
      <c r="M103" s="537">
        <v>1</v>
      </c>
      <c r="N103" s="538" t="e">
        <f t="shared" ca="1" si="66"/>
        <v>#REF!</v>
      </c>
      <c r="O103" s="539" t="e">
        <f t="shared" ca="1" si="67"/>
        <v>#REF!</v>
      </c>
      <c r="P103" s="552"/>
      <c r="Q103" s="537">
        <v>1</v>
      </c>
      <c r="R103" s="538" t="e">
        <f t="shared" ca="1" si="68"/>
        <v>#REF!</v>
      </c>
      <c r="S103" s="553" t="e">
        <f t="shared" ca="1" si="69"/>
        <v>#REF!</v>
      </c>
      <c r="U103" s="569" t="s">
        <v>977</v>
      </c>
      <c r="V103" s="554" t="str">
        <f t="shared" si="49"/>
        <v>entry in questionnaire</v>
      </c>
      <c r="W103" s="554" t="s">
        <v>1438</v>
      </c>
      <c r="X103" s="433">
        <v>1</v>
      </c>
      <c r="Y103" s="433">
        <v>1</v>
      </c>
      <c r="Z103" s="433">
        <v>1</v>
      </c>
      <c r="AA103" s="433">
        <v>1</v>
      </c>
      <c r="AB103" s="433">
        <v>1</v>
      </c>
      <c r="AC103" s="498" t="e">
        <f t="shared" ca="1" si="70"/>
        <v>#REF!</v>
      </c>
      <c r="AD103" s="542" t="e">
        <f t="shared" ca="1" si="94"/>
        <v>#REF!</v>
      </c>
      <c r="AE103" s="543" t="e">
        <f t="shared" ca="1" si="95"/>
        <v>#REF!</v>
      </c>
      <c r="AF103" s="544" t="e">
        <f t="shared" ca="1" si="96"/>
        <v>#REF!</v>
      </c>
      <c r="AG103" s="545" t="e">
        <f t="shared" ca="1" si="97"/>
        <v>#REF!</v>
      </c>
      <c r="AH103" s="546" t="e">
        <f t="shared" ca="1" si="98"/>
        <v>#REF!</v>
      </c>
      <c r="AI103" s="546" t="e">
        <f t="shared" ca="1" si="99"/>
        <v>#REF!</v>
      </c>
      <c r="AJ103" s="546" t="e">
        <f t="shared" ca="1" si="100"/>
        <v>#REF!</v>
      </c>
      <c r="AK103" s="546" t="e">
        <f t="shared" ca="1" si="101"/>
        <v>#REF!</v>
      </c>
      <c r="AL103" s="546" t="e">
        <f t="shared" ca="1" si="102"/>
        <v>#REF!</v>
      </c>
    </row>
    <row r="104" spans="1:38" ht="12.75">
      <c r="A104" s="563" t="s">
        <v>1488</v>
      </c>
      <c r="B104" s="529" t="str">
        <f t="shared" ca="1" si="87"/>
        <v/>
      </c>
      <c r="C104" s="450"/>
      <c r="D104" s="547">
        <v>5</v>
      </c>
      <c r="E104" s="548" t="s">
        <v>340</v>
      </c>
      <c r="F104" s="444" t="e">
        <f t="shared" ca="1" si="88"/>
        <v>#REF!</v>
      </c>
      <c r="G104" s="549" t="e">
        <f t="shared" ca="1" si="89"/>
        <v>#REF!</v>
      </c>
      <c r="H104" s="550" t="str">
        <f t="shared" ca="1" si="90"/>
        <v>-</v>
      </c>
      <c r="I104" s="550" t="str">
        <f t="shared" ca="1" si="91"/>
        <v>-</v>
      </c>
      <c r="J104" s="551" t="e">
        <f t="shared" ca="1" si="92"/>
        <v>#REF!</v>
      </c>
      <c r="K104" s="549" t="e">
        <f t="shared" ca="1" si="93"/>
        <v>#REF!</v>
      </c>
      <c r="L104" s="552"/>
      <c r="M104" s="537">
        <v>1</v>
      </c>
      <c r="N104" s="538" t="e">
        <f t="shared" ca="1" si="66"/>
        <v>#REF!</v>
      </c>
      <c r="O104" s="539" t="e">
        <f t="shared" ca="1" si="67"/>
        <v>#REF!</v>
      </c>
      <c r="P104" s="552"/>
      <c r="Q104" s="537">
        <v>1</v>
      </c>
      <c r="R104" s="538" t="e">
        <f t="shared" ca="1" si="68"/>
        <v>#REF!</v>
      </c>
      <c r="S104" s="553" t="e">
        <f t="shared" ca="1" si="69"/>
        <v>#REF!</v>
      </c>
      <c r="U104" s="569" t="s">
        <v>977</v>
      </c>
      <c r="V104" s="554" t="str">
        <f t="shared" si="49"/>
        <v>entry in questionnaire</v>
      </c>
      <c r="W104" s="554" t="s">
        <v>1438</v>
      </c>
      <c r="X104" s="433">
        <v>1</v>
      </c>
      <c r="Y104" s="433">
        <v>1</v>
      </c>
      <c r="Z104" s="433">
        <v>1</v>
      </c>
      <c r="AA104" s="433">
        <v>1</v>
      </c>
      <c r="AB104" s="433">
        <v>1</v>
      </c>
      <c r="AC104" s="498" t="e">
        <f t="shared" ca="1" si="70"/>
        <v>#REF!</v>
      </c>
      <c r="AD104" s="542" t="e">
        <f t="shared" ca="1" si="94"/>
        <v>#REF!</v>
      </c>
      <c r="AE104" s="543" t="e">
        <f t="shared" ca="1" si="95"/>
        <v>#REF!</v>
      </c>
      <c r="AF104" s="544" t="e">
        <f t="shared" ca="1" si="96"/>
        <v>#REF!</v>
      </c>
      <c r="AG104" s="545" t="e">
        <f t="shared" ca="1" si="97"/>
        <v>#REF!</v>
      </c>
      <c r="AH104" s="546" t="e">
        <f t="shared" ca="1" si="98"/>
        <v>#REF!</v>
      </c>
      <c r="AI104" s="546" t="e">
        <f t="shared" ca="1" si="99"/>
        <v>#REF!</v>
      </c>
      <c r="AJ104" s="546" t="e">
        <f t="shared" ca="1" si="100"/>
        <v>#REF!</v>
      </c>
      <c r="AK104" s="546" t="e">
        <f t="shared" ca="1" si="101"/>
        <v>#REF!</v>
      </c>
      <c r="AL104" s="546" t="e">
        <f t="shared" ca="1" si="102"/>
        <v>#REF!</v>
      </c>
    </row>
    <row r="105" spans="1:38" ht="12.75">
      <c r="A105" s="563" t="s">
        <v>1488</v>
      </c>
      <c r="B105" s="529" t="str">
        <f t="shared" ca="1" si="87"/>
        <v/>
      </c>
      <c r="C105" s="450"/>
      <c r="D105" s="547">
        <v>5</v>
      </c>
      <c r="E105" s="548" t="s">
        <v>340</v>
      </c>
      <c r="F105" s="444" t="e">
        <f t="shared" ca="1" si="88"/>
        <v>#REF!</v>
      </c>
      <c r="G105" s="549" t="e">
        <f t="shared" ca="1" si="89"/>
        <v>#REF!</v>
      </c>
      <c r="H105" s="550" t="str">
        <f t="shared" ca="1" si="90"/>
        <v>-</v>
      </c>
      <c r="I105" s="550" t="str">
        <f t="shared" ca="1" si="91"/>
        <v>-</v>
      </c>
      <c r="J105" s="551" t="e">
        <f t="shared" ca="1" si="92"/>
        <v>#REF!</v>
      </c>
      <c r="K105" s="549" t="e">
        <f t="shared" ca="1" si="93"/>
        <v>#REF!</v>
      </c>
      <c r="L105" s="552"/>
      <c r="M105" s="537">
        <v>1</v>
      </c>
      <c r="N105" s="538" t="e">
        <f t="shared" ca="1" si="66"/>
        <v>#REF!</v>
      </c>
      <c r="O105" s="539" t="e">
        <f t="shared" ca="1" si="67"/>
        <v>#REF!</v>
      </c>
      <c r="P105" s="552"/>
      <c r="Q105" s="537">
        <v>1</v>
      </c>
      <c r="R105" s="538" t="e">
        <f t="shared" ca="1" si="68"/>
        <v>#REF!</v>
      </c>
      <c r="S105" s="553" t="e">
        <f t="shared" ca="1" si="69"/>
        <v>#REF!</v>
      </c>
      <c r="U105" s="569" t="s">
        <v>977</v>
      </c>
      <c r="V105" s="554" t="str">
        <f t="shared" si="49"/>
        <v>entry in questionnaire</v>
      </c>
      <c r="W105" s="554" t="s">
        <v>1438</v>
      </c>
      <c r="X105" s="433">
        <v>1</v>
      </c>
      <c r="Y105" s="433">
        <v>1</v>
      </c>
      <c r="Z105" s="433">
        <v>1</v>
      </c>
      <c r="AA105" s="433">
        <v>1</v>
      </c>
      <c r="AB105" s="433">
        <v>1</v>
      </c>
      <c r="AC105" s="498" t="e">
        <f t="shared" ca="1" si="70"/>
        <v>#REF!</v>
      </c>
      <c r="AD105" s="542" t="e">
        <f t="shared" ca="1" si="94"/>
        <v>#REF!</v>
      </c>
      <c r="AE105" s="543" t="e">
        <f t="shared" ca="1" si="95"/>
        <v>#REF!</v>
      </c>
      <c r="AF105" s="544" t="e">
        <f t="shared" ca="1" si="96"/>
        <v>#REF!</v>
      </c>
      <c r="AG105" s="545" t="e">
        <f t="shared" ca="1" si="97"/>
        <v>#REF!</v>
      </c>
      <c r="AH105" s="546" t="e">
        <f t="shared" ca="1" si="98"/>
        <v>#REF!</v>
      </c>
      <c r="AI105" s="546" t="e">
        <f t="shared" ca="1" si="99"/>
        <v>#REF!</v>
      </c>
      <c r="AJ105" s="546" t="e">
        <f t="shared" ca="1" si="100"/>
        <v>#REF!</v>
      </c>
      <c r="AK105" s="546" t="e">
        <f t="shared" ca="1" si="101"/>
        <v>#REF!</v>
      </c>
      <c r="AL105" s="546" t="e">
        <f t="shared" ca="1" si="102"/>
        <v>#REF!</v>
      </c>
    </row>
    <row r="106" spans="1:38" ht="12.75">
      <c r="A106" s="563" t="s">
        <v>1488</v>
      </c>
      <c r="B106" s="529" t="str">
        <f t="shared" ca="1" si="87"/>
        <v/>
      </c>
      <c r="C106" s="450"/>
      <c r="D106" s="547">
        <v>5</v>
      </c>
      <c r="E106" s="548" t="s">
        <v>340</v>
      </c>
      <c r="F106" s="444" t="e">
        <f t="shared" ca="1" si="88"/>
        <v>#REF!</v>
      </c>
      <c r="G106" s="549" t="e">
        <f t="shared" ca="1" si="89"/>
        <v>#REF!</v>
      </c>
      <c r="H106" s="550" t="str">
        <f t="shared" ca="1" si="90"/>
        <v>-</v>
      </c>
      <c r="I106" s="550" t="str">
        <f t="shared" ca="1" si="91"/>
        <v>-</v>
      </c>
      <c r="J106" s="551" t="e">
        <f t="shared" ca="1" si="92"/>
        <v>#REF!</v>
      </c>
      <c r="K106" s="549" t="e">
        <f t="shared" ca="1" si="93"/>
        <v>#REF!</v>
      </c>
      <c r="L106" s="552"/>
      <c r="M106" s="537">
        <v>1</v>
      </c>
      <c r="N106" s="538" t="e">
        <f t="shared" ca="1" si="66"/>
        <v>#REF!</v>
      </c>
      <c r="O106" s="539" t="e">
        <f t="shared" ca="1" si="67"/>
        <v>#REF!</v>
      </c>
      <c r="P106" s="552"/>
      <c r="Q106" s="537">
        <v>1</v>
      </c>
      <c r="R106" s="538" t="e">
        <f t="shared" ca="1" si="68"/>
        <v>#REF!</v>
      </c>
      <c r="S106" s="553" t="e">
        <f t="shared" ca="1" si="69"/>
        <v>#REF!</v>
      </c>
      <c r="U106" s="569" t="s">
        <v>977</v>
      </c>
      <c r="V106" s="554" t="str">
        <f t="shared" si="49"/>
        <v>entry in questionnaire</v>
      </c>
      <c r="W106" s="554" t="s">
        <v>1438</v>
      </c>
      <c r="X106" s="433">
        <v>1</v>
      </c>
      <c r="Y106" s="433">
        <v>1</v>
      </c>
      <c r="Z106" s="433">
        <v>1</v>
      </c>
      <c r="AA106" s="433">
        <v>1</v>
      </c>
      <c r="AB106" s="433">
        <v>1</v>
      </c>
      <c r="AC106" s="498" t="e">
        <f t="shared" ca="1" si="70"/>
        <v>#REF!</v>
      </c>
      <c r="AD106" s="542" t="e">
        <f t="shared" ca="1" si="94"/>
        <v>#REF!</v>
      </c>
      <c r="AE106" s="543" t="e">
        <f t="shared" ca="1" si="95"/>
        <v>#REF!</v>
      </c>
      <c r="AF106" s="544" t="e">
        <f t="shared" ca="1" si="96"/>
        <v>#REF!</v>
      </c>
      <c r="AG106" s="545" t="e">
        <f t="shared" ca="1" si="97"/>
        <v>#REF!</v>
      </c>
      <c r="AH106" s="546" t="e">
        <f t="shared" ca="1" si="98"/>
        <v>#REF!</v>
      </c>
      <c r="AI106" s="546" t="e">
        <f t="shared" ca="1" si="99"/>
        <v>#REF!</v>
      </c>
      <c r="AJ106" s="546" t="e">
        <f t="shared" ca="1" si="100"/>
        <v>#REF!</v>
      </c>
      <c r="AK106" s="546" t="e">
        <f t="shared" ca="1" si="101"/>
        <v>#REF!</v>
      </c>
      <c r="AL106" s="546" t="e">
        <f t="shared" ca="1" si="102"/>
        <v>#REF!</v>
      </c>
    </row>
    <row r="108" spans="1:38" ht="12.75">
      <c r="A108" s="563" t="s">
        <v>1458</v>
      </c>
      <c r="B108" s="529"/>
      <c r="C108" s="450"/>
      <c r="D108" s="547">
        <v>5</v>
      </c>
      <c r="E108" s="548" t="s">
        <v>340</v>
      </c>
      <c r="F108" s="444" t="e">
        <f t="shared" ref="F108" ca="1" si="119">IF(OR(D108=4,E108=4),INDEX(INDIRECT(names&amp;"NamesElementary'!$1:$65536"),MATCH(A108,INDIRECT(names&amp;"NamesElementary'!$A:$A"),0),2),INDEX(INDIRECT(names&amp;"Names'!$1:$65536"),MATCH(A108,INDIRECT(names&amp;"Names'!$F:$F"),0),10))</f>
        <v>#REF!</v>
      </c>
      <c r="G108" s="549" t="e">
        <f t="shared" ref="G108" ca="1" si="120">IF(OR(D108=4,E108=4),"-",INDEX(INDIRECT(names&amp;"Names'!$1:$65536"),MATCH(A108,INDIRECT(names&amp;"Names'!$F:$F"),0),11))</f>
        <v>#REF!</v>
      </c>
      <c r="H108" s="550" t="str">
        <f t="shared" ref="H108" ca="1" si="121">IF(OR(D108=4,E108=4),INDEX(INDIRECT(names&amp;"NamesElementary'!$1:$65536"),MATCH($A108,INDIRECT(names&amp;"NamesElementary'!$A:$A"),0),4),"-")</f>
        <v>-</v>
      </c>
      <c r="I108" s="550" t="str">
        <f t="shared" ref="I108" ca="1" si="122">IF(OR(D108=4,E108=4),INDEX(INDIRECT(names&amp;"NamesElementary'!$1:$65536"),MATCH($A108,INDIRECT(names&amp;"NamesElementary'!$A:$A"),0),5),"-")</f>
        <v>-</v>
      </c>
      <c r="J108" s="551" t="e">
        <f t="shared" ref="J108" ca="1" si="123">IF(OR(D108=4,E108=4),"-",INDEX(INDIRECT(names&amp;"Names'!$1:$65536"),MATCH(A108,INDIRECT(names&amp;"Names'!$F:$F"),0),14))</f>
        <v>#REF!</v>
      </c>
      <c r="K108" s="549" t="e">
        <f t="shared" ref="K108" ca="1" si="124">IF(OR(D108=4,E108=4),INDEX(INDIRECT(names&amp;"NamesElementary'!$1:$65536"),MATCH(A108,INDIRECT(names&amp;"NamesElementary'!$A:$A"),0),7),INDEX(INDIRECT(names&amp;"Names'!$1:$65536"),MATCH(A108,INDIRECT(names&amp;"Names'!$F:$F"),0),15))</f>
        <v>#REF!</v>
      </c>
      <c r="L108" s="552">
        <f>SUMIF(Substrates!AY:AY,'X-Exchange'!U108,Substrates!BD:BD)</f>
        <v>0</v>
      </c>
      <c r="M108" s="537">
        <v>1</v>
      </c>
      <c r="N108" s="538" t="e">
        <f t="shared" ref="N108" ca="1" si="125">$AF108</f>
        <v>#REF!</v>
      </c>
      <c r="O108" s="539" t="e">
        <f t="shared" ref="O108" ca="1" si="126">$AG108&amp;"; "&amp;$V108&amp;"; "&amp;$W108</f>
        <v>#REF!</v>
      </c>
      <c r="P108" s="552"/>
      <c r="Q108" s="537">
        <v>1</v>
      </c>
      <c r="R108" s="538" t="e">
        <f t="shared" ref="R108" ca="1" si="127">$AF108</f>
        <v>#REF!</v>
      </c>
      <c r="S108" s="553" t="e">
        <f t="shared" ref="S108" ca="1" si="128">$AG108&amp;"; "&amp;$V108&amp;"; "&amp;$W108</f>
        <v>#REF!</v>
      </c>
      <c r="U108" s="568" t="s">
        <v>893</v>
      </c>
      <c r="V108" s="554" t="str">
        <f t="shared" ref="V108" si="129">$V$9</f>
        <v>entry in questionnaire</v>
      </c>
      <c r="W108" s="554" t="s">
        <v>1490</v>
      </c>
      <c r="X108" s="433">
        <v>1</v>
      </c>
      <c r="Y108" s="433">
        <v>1</v>
      </c>
      <c r="Z108" s="433">
        <v>1</v>
      </c>
      <c r="AA108" s="433">
        <v>1</v>
      </c>
      <c r="AB108" s="433">
        <v>1</v>
      </c>
      <c r="AC108" s="498" t="e">
        <f t="shared" ref="AC108" ca="1" si="130">IF(OR($D108=4,$E108=4),INDEX(INDIRECT(names&amp;"NamesElementary'!$J:$J"),MATCH($A108,INDIRECT(names&amp;"NamesElementary'!$A:$A"),0),1),INDEX(INDIRECT(names&amp;"Names'!$W:$W"),MATCH($A108,INDIRECT(names&amp;"Names'!$F:$F"),0),1))</f>
        <v>#REF!</v>
      </c>
      <c r="AD108" s="542" t="e">
        <f t="shared" ref="AD108" ca="1" si="131">INDEX(INDIRECT(names&amp;"BasicUncertainty'!$1:$65536"),MATCH(AC108,INDIRECT(names&amp;"BasicUncertainty'!B:B"),0),8)</f>
        <v>#REF!</v>
      </c>
      <c r="AE108" s="543" t="e">
        <f t="shared" ref="AE108" ca="1" si="132">EXP(SQRT((LN(AH108)^2)+(LN(AI108)^2)+(LN(AJ108)^2)+(LN(AK108)^2)+(LN(AL108)^2)))</f>
        <v>#REF!</v>
      </c>
      <c r="AF108" s="544" t="e">
        <f t="shared" ref="AF108" ca="1" si="133">EXP(SQRT((LN(AH108)^2)+(LN(AI108)^2)+(LN(AJ108)^2)+(LN(AK108)^2)+(LN(AL108)^2)+(LN(AD108)^2)))</f>
        <v>#REF!</v>
      </c>
      <c r="AG108" s="545" t="e">
        <f t="shared" ref="AG108" ca="1" si="134">CONCATENATE("(",X108,",",Y108,",",Z108,",",AA108,",",AB108,",BU:",AD108,")")</f>
        <v>#REF!</v>
      </c>
      <c r="AH108" s="546" t="e">
        <f t="shared" ref="AH108" ca="1" si="135">IF(X108=1,INDIRECT(names&amp;"SDG^2 values'!$B$4"),IF(X108=2,INDIRECT(names&amp;"SDG^2 values'!$C$4"),IF(X108=3,INDIRECT(names&amp;"SDG^2 values'!$D$4"),IF(X108=4,INDIRECT(names&amp;"SDG^2 values'!$E$4"),IF(X108=5,INDIRECT(names&amp;"SDG^2 values'!$F$4"),1)))))</f>
        <v>#REF!</v>
      </c>
      <c r="AI108" s="546" t="e">
        <f t="shared" ref="AI108" ca="1" si="136">IF(Y108=1,INDIRECT(names&amp;"SDG^2 values'!$B$5"),IF(Y108=2,INDIRECT(names&amp;"SDG^2 values'!$C$5"),IF(Y108=3,INDIRECT(names&amp;"SDG^2 values'!$D$5"),IF(Y108=4,INDIRECT(names&amp;"SDG^2 values'!$E$5"),IF(Y108=5,INDIRECT(names&amp;"SDG^2 values'!$F$5"),1)))))</f>
        <v>#REF!</v>
      </c>
      <c r="AJ108" s="546" t="e">
        <f t="shared" ref="AJ108" ca="1" si="137">IF(Z108=1,INDIRECT(names&amp;"SDG^2 values'!$B$6"),IF(Z108=2,INDIRECT(names&amp;"SDG^2 values'!$C$6"),IF(Z108=3,INDIRECT(names&amp;"SDG^2 values'!$D$6"),IF(Z108=4,INDIRECT(names&amp;"SDG^2 values'!$E$6"),IF(Z108=5,INDIRECT(names&amp;"SDG^2 values'!$F$6"),1)))))</f>
        <v>#REF!</v>
      </c>
      <c r="AK108" s="546" t="e">
        <f t="shared" ref="AK108" ca="1" si="138">IF(AA108=1,INDIRECT(names&amp;"SDG^2 values'!$B$7"),IF(AA108=2,INDIRECT(names&amp;"SDG^2 values'!$C$7"),IF(AA108=3,INDIRECT(names&amp;"SDG^2 values'!$D$7"),IF(AA108=4,INDIRECT(names&amp;"SDG^2 values'!$E$7"),IF(AA108=5,INDIRECT(names&amp;"SDG^2 values'!$F$7"),1)))))</f>
        <v>#REF!</v>
      </c>
      <c r="AL108" s="546" t="e">
        <f t="shared" ref="AL108" ca="1" si="139">IF(AB108=1,INDIRECT(names&amp;"SDG^2 values'!$B$8"),IF(AB108=2,INDIRECT(names&amp;"SDG^2 values'!$C$8"),IF(AB108=3,INDIRECT(names&amp;"SDG^2 values'!$D$8"),IF(AB108=4,INDIRECT(names&amp;"SDG^2 values'!$E$8"),IF(AB108=5,INDIRECT(names&amp;"SDG^2 values'!$F$8"),1)))))</f>
        <v>#REF!</v>
      </c>
    </row>
    <row r="109" spans="1:38">
      <c r="L109" s="457">
        <f>COUNT(L37:L70)</f>
        <v>33</v>
      </c>
    </row>
    <row r="110" spans="1:38">
      <c r="L110" s="457">
        <v>27</v>
      </c>
    </row>
    <row r="112" spans="1:38" ht="12.75">
      <c r="U112"/>
    </row>
    <row r="113" spans="21:21" ht="12.75">
      <c r="U113"/>
    </row>
    <row r="114" spans="21:21" ht="12.75">
      <c r="U114"/>
    </row>
    <row r="115" spans="21:21" ht="12.75">
      <c r="U115"/>
    </row>
    <row r="116" spans="21:21" ht="12.75">
      <c r="U116"/>
    </row>
    <row r="117" spans="21:21" ht="12.75">
      <c r="U117"/>
    </row>
    <row r="118" spans="21:21" ht="12.75">
      <c r="U118"/>
    </row>
    <row r="119" spans="21:21" ht="12.75">
      <c r="U119"/>
    </row>
    <row r="120" spans="21:21" ht="12.75">
      <c r="U120"/>
    </row>
    <row r="121" spans="21:21" ht="12.75">
      <c r="U121"/>
    </row>
    <row r="122" spans="21:21" ht="12.75">
      <c r="U122"/>
    </row>
    <row r="123" spans="21:21" ht="12.75">
      <c r="U123"/>
    </row>
    <row r="124" spans="21:21" ht="12.75">
      <c r="U124"/>
    </row>
    <row r="125" spans="21:21" ht="12.75">
      <c r="U125"/>
    </row>
  </sheetData>
  <mergeCells count="1">
    <mergeCell ref="X1:AB1"/>
  </mergeCells>
  <dataValidations xWindow="1406" yWindow="730" count="27">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 sqref="D7:D8" xr:uid="{00000000-0002-0000-0C00-000000000000}"/>
    <dataValidation allowBlank="1" showInputMessage="1" showErrorMessage="1" promptTitle="Remarks" prompt="A general comment (data source, calculation procedure, ...) can be made about each individual exchange. The remarks are added to the GeneralComment-field." sqref="V3 W2:W3 V108:W108 V9:W106" xr:uid="{00000000-0002-0000-0C00-000001000000}"/>
    <dataValidation allowBlank="1" showInputMessage="1" showErrorMessage="1" prompt="Do not change." sqref="AC3:AL4 AE7:AL8" xr:uid="{00000000-0002-0000-0C00-000002000000}"/>
    <dataValidation allowBlank="1" showInputMessage="1" showErrorMessage="1" prompt="This cell is automatically updated from the names List according to the index number in L1. It needs to be identical to the output product." sqref="P3:P6 L3:L6" xr:uid="{00000000-0002-0000-0C00-000003000000}"/>
    <dataValidation allowBlank="1" showInputMessage="1" showErrorMessage="1" promptTitle="Unit" prompt="Unit of the exchange (elementary flow or intermediate product flow)." sqref="F6 K2:K3" xr:uid="{00000000-0002-0000-0C00-000004000000}"/>
    <dataValidation allowBlank="1" showInputMessage="1" showErrorMessage="1" promptTitle="Infrastructure" prompt="Describes whether the intermediate product flow from or to the unit process is an infrastructure process or not._x000a__x000a_Not applicable to elementary flows." sqref="F5 J2:J3" xr:uid="{00000000-0002-0000-0C00-000005000000}"/>
    <dataValidation allowBlank="1" showInputMessage="1" showErrorMessage="1" promptTitle="Name" prompt="Name of the exchange (elementary flow or intermediate product flow) in English language. " sqref="F2:F3" xr:uid="{00000000-0002-0000-0C00-000006000000}"/>
    <dataValidation allowBlank="1" showInputMessage="1" showErrorMessage="1" promptTitle="Location" prompt="List of 2 letter ISO country codes extended by codes for regions, continents, market areas, and organisations and companies._x000a__x000a_See names list (sheet &quot;country&quot;) for the complete list." sqref="G2:G3 F4" xr:uid="{00000000-0002-0000-0C00-000007000000}"/>
    <dataValidation allowBlank="1" showInputMessage="1" showErrorMessage="1" promptTitle="Input Group" prompt="Indicates the kind of input flow. Within the ecoinvent quality network, only 4 and 5 are actively used (any material, fuel, electricity, heat or service is classified as an input from technosphere)._x000a__x000a_4=FromNature_x000a_5=FromTechnosphere_x000a_- = an Output-Flow" sqref="D2:D3 D108 D9:D106" xr:uid="{00000000-0002-0000-0C00-000008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 sqref="E2:E3" xr:uid="{00000000-0002-0000-0C00-000009000000}"/>
    <dataValidation allowBlank="1" showInputMessage="1" showErrorMessage="1" promptTitle="Index-Number" prompt="Indicates the reference number in the ecoinvent names list. Insert the index number from the names-list in this field and the rest is completed accordingly._x000a__x000a_If Input-/Outputgroup =4 then see sheet &quot;NamesElementary&quot;_x000a_If I/O-Group=5 then see sheet &quot;Names&quot;" sqref="A2:A3" xr:uid="{00000000-0002-0000-0C00-00000A000000}"/>
    <dataValidation allowBlank="1" showInputMessage="1" showErrorMessage="1" promptTitle="Pedigree Matrix (Completeness)" prompt="See the ecoinvent names list (sheet &quot;pedigree&quot;) for a detailed explanation on the fields and the numbers._x000a__x000a_1: All relevant sites and adequate time period_x000a_2: &gt;50% of rel. sites _x000a_3: only some sites or &gt;50% but short time period_x000a_4: only one site_x000a_5: unknown " sqref="Y3 Y108 Y9:Y106" xr:uid="{00000000-0002-0000-0C00-00000B000000}"/>
    <dataValidation allowBlank="1" showInputMessage="1" showErrorMessage="1" promptTitle="Pedigree (Temporal Correlation)" prompt="See the ecoinvent names list (sheet &quot;pedigree&quot;) for a detailed explanation on the fields and the numbers._x000a__x000a_1: less than 3 years form reference year_x000a_2: &lt; 6 years_x000a_3: &lt; 10 years_x000a_4: &lt; 15 years_x000a_5: unknown or &gt; 15 years_x000a_" sqref="Z3 Z108 Z9:Z106" xr:uid="{00000000-0002-0000-0C00-00000C000000}"/>
    <dataValidation allowBlank="1" showInputMessage="1" showErrorMessage="1" promptTitle="Pedigree (Geograph. Correlation)" prompt="See the ecoinvent names list (sheet &quot;pedigree&quot;) for a detailed explanation on the fields and the numbers._x000a__x000a_1: Data from area under study_x000a_2: Data area &gt; study area_x000a_3: Data area &lt; study area, or from similar area_x000a_4: -_x000a_5: unkown or differing area" sqref="AA3 AA108 AA9:AA106" xr:uid="{00000000-0002-0000-0C00-00000D000000}"/>
    <dataValidation allowBlank="1" showInputMessage="1" showErrorMessage="1" promptTitle="Pedigree (Technological Corr.)" prompt="See the ecoinvent names list (sheet &quot;pedigree&quot;) for a detailed explanation on the fields and the numbers._x000a__x000a_1: identical technology_x000a_2: -_x000a_3: related process but same technology_x000a_4: rel. technology but different process_x000a_5: rel. process but laboratory scale_x000a_" sqref="AB3 AB108 AB9:AB106" xr:uid="{00000000-0002-0000-0C00-00000E000000}"/>
    <dataValidation allowBlank="1" showInputMessage="1" showErrorMessage="1" promptTitle="Pedigree Matrix (Reliability)" prompt="See the ecoinvent names list (sheet &quot;pedigree&quot;) for a detailed explanation on the fields and the numbers._x000a__x000a_1: Verified (e.g. published)_x000a_2: Verified but partly based on assumptions_x000a_3: Unverified_x000a_4: Qualified estimate_x000a_5: Non-qualified estimate" sqref="X3 X108 X9:X106" xr:uid="{00000000-0002-0000-0C00-00000F000000}"/>
    <dataValidation allowBlank="1" showInputMessage="1" showErrorMessage="1" promptTitle="Category" prompt="Describes the category one particular exchange belongs to (in English language). Category and subCategory are required for elementary flows because they have a discriminative function." sqref="H2:H3" xr:uid="{00000000-0002-0000-0C00-000010000000}"/>
    <dataValidation allowBlank="1" showInputMessage="1" showErrorMessage="1" promptTitle="Subcategory" prompt="Describes the subCategory one particular exchange belongs to (in English language). Category and subCategory are required for elementary flows because they have a discriminative function." sqref="I2:I3" xr:uid="{00000000-0002-0000-0C00-000011000000}"/>
    <dataValidation allowBlank="1" showInputMessage="1" showErrorMessage="1" prompt="always 1" sqref="L7:L8 P7:P8" xr:uid="{00000000-0002-0000-0C00-000012000000}"/>
    <dataValidation allowBlank="1" showInputMessage="1" showErrorMessage="1" prompt="Do not enter anything into these fields. _x000a__x000a_Entering the Index-Number in column A will update these fields accordingly (maybe you need to press &quot;F9&quot; to have Excel recalculate the fields). Be sure to have the names-list open._x000a_" sqref="F108:K108 F7:K106" xr:uid="{00000000-0002-0000-0C00-000013000000}"/>
    <dataValidation allowBlank="1" showInputMessage="1" showErrorMessage="1" prompt="Mean amount of elementary flow or intermediate product flow. Enter your values (or the respective equation) here." sqref="P108 L108 P9:P106 L9:L106" xr:uid="{00000000-0002-0000-0C00-000014000000}"/>
    <dataValidation allowBlank="1" showInputMessage="1" showErrorMessage="1" promptTitle="Output Group" prompt="Indicates the kind of output flow. The options 0, 2, and 4 are actively used in the ecoinvent quality network. The codes are: 0=ReferenceProduct_x000a_2=Allocated by product_x000a_4=ToNature_x000a_- = The flow is an Input-Flow_x000a__x000a_" sqref="E108 E7:E106" xr:uid="{00000000-0002-0000-0C00-000015000000}"/>
    <dataValidation allowBlank="1" showInputMessage="1" showErrorMessage="1" promptTitle="Do not change" prompt="This field is automatically calculated from your inputs." sqref="AD108:AL108 AD9:AL106" xr:uid="{00000000-0002-0000-0C00-000016000000}"/>
    <dataValidation allowBlank="1" showInputMessage="1" showErrorMessage="1" promptTitle="Uncertainty Type" prompt="Defines the kind of uncertainty distribution applied on one particular exchange. _x000a__x000a_0 = undefined_x000a_1 = LOGNORMAL (default)_x000a_2 = normal_x000a_3 = triang_x000a_4 = uniform_x000a_" sqref="M108 Q108 M2:M106 Q2:Q106" xr:uid="{00000000-0002-0000-0C00-000017000000}"/>
    <dataValidation allowBlank="1" showInputMessage="1" showErrorMessage="1" promptTitle="StandardDeviation" prompt="Do only change when you calculated the Standard Deviation (SD) of the data (square SD for lognormal Distribution, 2*SD for normal Distribution - see column M). _x000a__x000a_Otherwise leave the formula to have it calculated from the Pedigree-Matrix (column Q  to V)." sqref="N108 R108 N2:N106 R2:R106" xr:uid="{00000000-0002-0000-0C00-000018000000}"/>
    <dataValidation allowBlank="1" showInputMessage="1" showErrorMessage="1" promptTitle="GeneralComment" prompt="Do not change, if you use Pedigree Matrix. The comment is generated from the remarks field (enter remarks there) and the Pedigree numbers._x000a__x000a_If you calculated the SD from the data (i.e. without Pedigree Matrix), set a direct reference to the remarks. _x000a__x000a_" sqref="S108:T108 O108 O1:O106 S1:T106" xr:uid="{00000000-0002-0000-0C00-000019000000}"/>
    <dataValidation allowBlank="1" showInputMessage="1" showErrorMessage="1" promptTitle="Do not change" prompt="This field is automatically updated from the names-list" sqref="AC108 AC9:AC106" xr:uid="{00000000-0002-0000-0C00-00001A000000}"/>
  </dataValidations>
  <printOptions horizontalCentered="1" verticalCentered="1"/>
  <pageMargins left="0.78740157480314965" right="0.78740157480314965" top="0.98425196850393704" bottom="0.98425196850393704" header="0.51181102362204722" footer="0.51181102362204722"/>
  <pageSetup paperSize="9" orientation="landscape" r:id="rId1"/>
  <headerFooter alignWithMargins="0">
    <oddHeader>&amp;A</oddHeader>
    <oddFooter>&amp;L&amp;D&amp;C&amp;F&amp;RSeite &amp;P</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E69"/>
  <sheetViews>
    <sheetView workbookViewId="0"/>
  </sheetViews>
  <sheetFormatPr baseColWidth="10" defaultColWidth="8.85546875" defaultRowHeight="12" outlineLevelRow="1" outlineLevelCol="1"/>
  <cols>
    <col min="1" max="1" width="14.42578125" style="429" customWidth="1"/>
    <col min="2" max="2" width="5.140625" style="453" hidden="1" customWidth="1" outlineLevel="1"/>
    <col min="3" max="3" width="23.42578125" style="457" customWidth="1" collapsed="1"/>
    <col min="4" max="5" width="20.7109375" style="442" customWidth="1"/>
    <col min="6" max="16384" width="8.85546875" style="442"/>
  </cols>
  <sheetData>
    <row r="1" spans="1:5" s="434" customFormat="1">
      <c r="A1" s="429" t="s">
        <v>1320</v>
      </c>
      <c r="B1" s="430" t="s">
        <v>1321</v>
      </c>
      <c r="C1" s="431" t="s">
        <v>1322</v>
      </c>
      <c r="D1" s="432">
        <f>'X-Exchange'!L1</f>
        <v>848</v>
      </c>
      <c r="E1" s="432" t="str">
        <f>'X-Exchange'!P1</f>
        <v>208-01</v>
      </c>
    </row>
    <row r="2" spans="1:5" s="438" customFormat="1" ht="24">
      <c r="A2" s="435" t="s">
        <v>1323</v>
      </c>
      <c r="B2" s="436">
        <v>401</v>
      </c>
      <c r="C2" s="437" t="s">
        <v>1324</v>
      </c>
      <c r="D2" s="436" t="str">
        <f>'X-Exchange'!$L3</f>
        <v xml:space="preserve">Gesamtbelastung, </v>
      </c>
      <c r="E2" s="436" t="str">
        <f>'X-Exchange'!$P3</f>
        <v xml:space="preserve">Prüfwert, </v>
      </c>
    </row>
    <row r="3" spans="1:5">
      <c r="A3" s="439" t="s">
        <v>1325</v>
      </c>
      <c r="B3" s="440">
        <v>662</v>
      </c>
      <c r="C3" s="441" t="s">
        <v>1242</v>
      </c>
      <c r="D3" s="436" t="e">
        <f>'X-Exchange'!$L4</f>
        <v>#N/A</v>
      </c>
      <c r="E3" s="436" t="e">
        <f>'X-Exchange'!$P4</f>
        <v>#N/A</v>
      </c>
    </row>
    <row r="4" spans="1:5">
      <c r="A4" s="439" t="s">
        <v>1323</v>
      </c>
      <c r="B4" s="440">
        <v>493</v>
      </c>
      <c r="C4" s="441" t="s">
        <v>1326</v>
      </c>
      <c r="D4" s="436">
        <f>'X-Exchange'!$L5</f>
        <v>0</v>
      </c>
      <c r="E4" s="436">
        <f>'X-Exchange'!$P5</f>
        <v>0</v>
      </c>
    </row>
    <row r="5" spans="1:5">
      <c r="A5" s="439" t="s">
        <v>1323</v>
      </c>
      <c r="B5" s="440">
        <v>403</v>
      </c>
      <c r="C5" s="441" t="s">
        <v>533</v>
      </c>
      <c r="D5" s="436" t="str">
        <f>'X-Exchange'!$L6</f>
        <v>a</v>
      </c>
      <c r="E5" s="436" t="str">
        <f>'X-Exchange'!$P6</f>
        <v>a</v>
      </c>
    </row>
    <row r="6" spans="1:5" outlineLevel="1">
      <c r="A6" s="439" t="s">
        <v>1327</v>
      </c>
      <c r="B6" s="443">
        <v>201</v>
      </c>
      <c r="C6" s="444" t="s">
        <v>1320</v>
      </c>
      <c r="D6" s="445" t="e">
        <f t="shared" ref="D6:E6" ca="1" si="0">IF(INDEX(INDIRECT(names&amp;"Names'!$U:$U"),MATCH(D$1,INDIRECT(names&amp;"Names'!$F:$F"),0),1)=0,1,5)</f>
        <v>#REF!</v>
      </c>
      <c r="E6" s="445" t="e">
        <f t="shared" ca="1" si="0"/>
        <v>#REF!</v>
      </c>
    </row>
    <row r="7" spans="1:5" outlineLevel="1">
      <c r="A7" s="439"/>
      <c r="B7" s="443">
        <v>202</v>
      </c>
      <c r="C7" s="444" t="s">
        <v>1328</v>
      </c>
      <c r="D7" s="446">
        <v>1</v>
      </c>
      <c r="E7" s="446">
        <v>1</v>
      </c>
    </row>
    <row r="8" spans="1:5" outlineLevel="1">
      <c r="A8" s="439"/>
      <c r="B8" s="443">
        <v>203</v>
      </c>
      <c r="C8" s="444" t="s">
        <v>1329</v>
      </c>
      <c r="D8" s="447">
        <v>0</v>
      </c>
      <c r="E8" s="447">
        <v>0</v>
      </c>
    </row>
    <row r="9" spans="1:5" outlineLevel="1">
      <c r="A9" s="439"/>
      <c r="B9" s="443">
        <v>205</v>
      </c>
      <c r="C9" s="444" t="s">
        <v>1330</v>
      </c>
      <c r="D9" s="445" t="s">
        <v>1331</v>
      </c>
      <c r="E9" s="445" t="s">
        <v>1331</v>
      </c>
    </row>
    <row r="10" spans="1:5" outlineLevel="1">
      <c r="A10" s="439"/>
      <c r="B10" s="443">
        <v>206</v>
      </c>
      <c r="C10" s="444" t="s">
        <v>1332</v>
      </c>
      <c r="D10" s="445" t="s">
        <v>1333</v>
      </c>
      <c r="E10" s="445" t="s">
        <v>1333</v>
      </c>
    </row>
    <row r="11" spans="1:5" outlineLevel="1">
      <c r="A11" s="439" t="s">
        <v>1334</v>
      </c>
      <c r="B11" s="443">
        <v>302</v>
      </c>
      <c r="C11" s="444" t="s">
        <v>1335</v>
      </c>
      <c r="D11" s="448">
        <f t="shared" ref="D11:E11" si="1">entry</f>
        <v>41</v>
      </c>
      <c r="E11" s="448">
        <f t="shared" si="1"/>
        <v>41</v>
      </c>
    </row>
    <row r="12" spans="1:5" outlineLevel="1">
      <c r="A12" s="439"/>
      <c r="B12" s="443">
        <v>304</v>
      </c>
      <c r="C12" s="444" t="s">
        <v>1336</v>
      </c>
      <c r="D12" s="445">
        <v>1</v>
      </c>
      <c r="E12" s="445">
        <v>1</v>
      </c>
    </row>
    <row r="13" spans="1:5" outlineLevel="1">
      <c r="A13" s="439" t="s">
        <v>1323</v>
      </c>
      <c r="B13" s="443">
        <v>400</v>
      </c>
      <c r="C13" s="444" t="s">
        <v>1337</v>
      </c>
      <c r="D13" s="445">
        <v>1</v>
      </c>
      <c r="E13" s="445">
        <v>1</v>
      </c>
    </row>
    <row r="14" spans="1:5" ht="48">
      <c r="A14" s="439"/>
      <c r="B14" s="443">
        <v>402</v>
      </c>
      <c r="C14" s="444" t="s">
        <v>1338</v>
      </c>
      <c r="D14" s="448" t="s">
        <v>1475</v>
      </c>
      <c r="E14" s="448" t="s">
        <v>1476</v>
      </c>
    </row>
    <row r="15" spans="1:5" outlineLevel="1">
      <c r="A15" s="439"/>
      <c r="B15" s="443">
        <v>404</v>
      </c>
      <c r="C15" s="444" t="s">
        <v>1339</v>
      </c>
      <c r="D15" s="445">
        <v>1</v>
      </c>
      <c r="E15" s="445">
        <v>1</v>
      </c>
    </row>
    <row r="16" spans="1:5">
      <c r="A16" s="439"/>
      <c r="B16" s="443">
        <v>490</v>
      </c>
      <c r="C16" s="444" t="s">
        <v>1340</v>
      </c>
      <c r="D16" s="445" t="e">
        <f t="shared" ref="D16:E16" ca="1" si="2">INDEX(INDIRECT(names&amp;"Names'!$G:$G"),MATCH(D$1,INDIRECT(names&amp;"Names'!$F:$F"),0),1)</f>
        <v>#REF!</v>
      </c>
      <c r="E16" s="445" t="e">
        <f t="shared" ca="1" si="2"/>
        <v>#REF!</v>
      </c>
    </row>
    <row r="17" spans="1:5">
      <c r="A17" s="439"/>
      <c r="B17" s="443">
        <v>491</v>
      </c>
      <c r="C17" s="444" t="s">
        <v>1341</v>
      </c>
      <c r="D17" s="445" t="e">
        <f t="shared" ref="D17:E17" ca="1" si="3">INDEX(INDIRECT(names&amp;"Names'!$t:$t"),MATCH(D$1,INDIRECT(names&amp;"Names'!$F:$F"),0),1)</f>
        <v>#REF!</v>
      </c>
      <c r="E17" s="445" t="e">
        <f t="shared" ca="1" si="3"/>
        <v>#REF!</v>
      </c>
    </row>
    <row r="18" spans="1:5" ht="48">
      <c r="A18" s="439"/>
      <c r="B18" s="443">
        <v>492</v>
      </c>
      <c r="C18" s="444" t="s">
        <v>1342</v>
      </c>
      <c r="D18" s="448" t="s">
        <v>1343</v>
      </c>
      <c r="E18" s="448" t="s">
        <v>1343</v>
      </c>
    </row>
    <row r="19" spans="1:5">
      <c r="A19" s="439"/>
      <c r="B19" s="443">
        <v>494</v>
      </c>
      <c r="C19" s="444" t="s">
        <v>1344</v>
      </c>
      <c r="D19" s="445">
        <v>1</v>
      </c>
      <c r="E19" s="445">
        <v>1</v>
      </c>
    </row>
    <row r="20" spans="1:5">
      <c r="A20" s="439"/>
      <c r="B20" s="443">
        <v>495</v>
      </c>
      <c r="C20" s="444" t="s">
        <v>1345</v>
      </c>
      <c r="D20" s="445" t="s">
        <v>1477</v>
      </c>
      <c r="E20" s="445" t="s">
        <v>1477</v>
      </c>
    </row>
    <row r="21" spans="1:5">
      <c r="A21" s="439"/>
      <c r="B21" s="443">
        <v>496</v>
      </c>
      <c r="C21" s="444" t="s">
        <v>1346</v>
      </c>
      <c r="D21" s="445" t="s">
        <v>1478</v>
      </c>
      <c r="E21" s="445" t="s">
        <v>1478</v>
      </c>
    </row>
    <row r="22" spans="1:5">
      <c r="A22" s="439"/>
      <c r="B22" s="443">
        <v>497</v>
      </c>
      <c r="C22" s="444" t="s">
        <v>1347</v>
      </c>
      <c r="D22" s="445" t="s">
        <v>1479</v>
      </c>
      <c r="E22" s="445" t="s">
        <v>1479</v>
      </c>
    </row>
    <row r="23" spans="1:5">
      <c r="A23" s="439"/>
      <c r="B23" s="443">
        <v>498</v>
      </c>
      <c r="C23" s="444" t="s">
        <v>1348</v>
      </c>
      <c r="D23" s="445" t="s">
        <v>1480</v>
      </c>
      <c r="E23" s="445" t="str">
        <f>D23</f>
        <v>Zeritifizierung</v>
      </c>
    </row>
    <row r="24" spans="1:5">
      <c r="A24" s="439"/>
      <c r="B24" s="443">
        <v>499</v>
      </c>
      <c r="C24" s="444" t="s">
        <v>1349</v>
      </c>
      <c r="D24" s="449" t="e">
        <f t="shared" ref="D24:E24" ca="1" si="4">IF(INDEX(INDIRECT(names&amp;"Names'!$S:$S"),MATCH(D$1,INDIRECT(names&amp;"Names'!$F:$F"),0),1)=0,"",INDEX(INDIRECT(names&amp;"Names'!$S:$S"),MATCH(D$1,INDIRECT(names&amp;"Names'!$F:$F"),0),1))</f>
        <v>#REF!</v>
      </c>
      <c r="E24" s="449" t="e">
        <f t="shared" ca="1" si="4"/>
        <v>#REF!</v>
      </c>
    </row>
    <row r="25" spans="1:5">
      <c r="A25" s="439"/>
      <c r="B25" s="443">
        <v>501</v>
      </c>
      <c r="C25" s="444" t="s">
        <v>1350</v>
      </c>
      <c r="D25" s="445"/>
      <c r="E25" s="445"/>
    </row>
    <row r="26" spans="1:5">
      <c r="A26" s="439"/>
      <c r="B26" s="443">
        <v>502</v>
      </c>
      <c r="C26" s="444" t="s">
        <v>1351</v>
      </c>
      <c r="D26" s="449" t="e">
        <f t="shared" ref="D26:E26" ca="1" si="5">IF(INDEX(INDIRECT(names&amp;"Names'!$r:$r"),MATCH(D$1,INDIRECT(names&amp;"Names'!$F:$F"),0),1)=0,"",INDEX(INDIRECT(names&amp;"Names'!$r:$r"),MATCH(D$1,INDIRECT(names&amp;"Names'!$F:$F"),0),1))</f>
        <v>#REF!</v>
      </c>
      <c r="E26" s="449" t="e">
        <f t="shared" ca="1" si="5"/>
        <v>#REF!</v>
      </c>
    </row>
    <row r="27" spans="1:5">
      <c r="A27" s="439" t="s">
        <v>1352</v>
      </c>
      <c r="B27" s="443">
        <v>601</v>
      </c>
      <c r="C27" s="444" t="s">
        <v>1353</v>
      </c>
      <c r="D27" s="442">
        <f t="shared" ref="D27:E28" ca="1" si="6">YEAR(TODAY())</f>
        <v>2021</v>
      </c>
      <c r="E27" s="442">
        <f t="shared" ca="1" si="6"/>
        <v>2021</v>
      </c>
    </row>
    <row r="28" spans="1:5">
      <c r="A28" s="439"/>
      <c r="B28" s="443">
        <v>602</v>
      </c>
      <c r="C28" s="444" t="s">
        <v>1354</v>
      </c>
      <c r="D28" s="442">
        <f t="shared" ca="1" si="6"/>
        <v>2021</v>
      </c>
      <c r="E28" s="442">
        <f t="shared" ca="1" si="6"/>
        <v>2021</v>
      </c>
    </row>
    <row r="29" spans="1:5" ht="11.25" customHeight="1">
      <c r="A29" s="439"/>
      <c r="B29" s="443">
        <v>603</v>
      </c>
      <c r="C29" s="444" t="s">
        <v>1355</v>
      </c>
      <c r="D29" s="448">
        <v>1</v>
      </c>
      <c r="E29" s="448">
        <v>1</v>
      </c>
    </row>
    <row r="30" spans="1:5">
      <c r="A30" s="439"/>
      <c r="B30" s="443">
        <v>611</v>
      </c>
      <c r="C30" s="444" t="s">
        <v>1356</v>
      </c>
      <c r="D30" s="448"/>
      <c r="E30" s="448"/>
    </row>
    <row r="31" spans="1:5">
      <c r="A31" s="439" t="s">
        <v>1325</v>
      </c>
      <c r="B31" s="443">
        <v>663</v>
      </c>
      <c r="C31" s="444" t="s">
        <v>15</v>
      </c>
      <c r="D31" s="448" t="e">
        <f>D3</f>
        <v>#N/A</v>
      </c>
      <c r="E31" s="448" t="e">
        <f>E3</f>
        <v>#N/A</v>
      </c>
    </row>
    <row r="32" spans="1:5" ht="36">
      <c r="A32" s="439" t="s">
        <v>1357</v>
      </c>
      <c r="B32" s="443">
        <v>692</v>
      </c>
      <c r="C32" s="444" t="s">
        <v>15</v>
      </c>
      <c r="D32" s="448" t="s">
        <v>1481</v>
      </c>
      <c r="E32" s="448" t="s">
        <v>1482</v>
      </c>
    </row>
    <row r="33" spans="1:5">
      <c r="A33" s="450" t="s">
        <v>1358</v>
      </c>
      <c r="B33" s="443">
        <v>722</v>
      </c>
      <c r="C33" s="444" t="s">
        <v>1359</v>
      </c>
      <c r="D33" s="448">
        <v>0</v>
      </c>
      <c r="E33" s="448">
        <v>0</v>
      </c>
    </row>
    <row r="34" spans="1:5">
      <c r="A34" s="450"/>
      <c r="B34" s="443">
        <v>724</v>
      </c>
      <c r="C34" s="444" t="s">
        <v>1360</v>
      </c>
      <c r="D34" s="448" t="s">
        <v>1361</v>
      </c>
      <c r="E34" s="448" t="s">
        <v>1361</v>
      </c>
    </row>
    <row r="35" spans="1:5">
      <c r="A35" s="450"/>
      <c r="B35" s="443">
        <v>725</v>
      </c>
      <c r="C35" s="444" t="s">
        <v>1362</v>
      </c>
      <c r="D35" s="448" t="s">
        <v>1361</v>
      </c>
      <c r="E35" s="448" t="s">
        <v>1361</v>
      </c>
    </row>
    <row r="36" spans="1:5">
      <c r="A36" s="450"/>
      <c r="B36" s="443">
        <v>726</v>
      </c>
      <c r="C36" s="444" t="s">
        <v>1363</v>
      </c>
      <c r="D36" s="448" t="s">
        <v>1364</v>
      </c>
      <c r="E36" s="448" t="s">
        <v>1364</v>
      </c>
    </row>
    <row r="37" spans="1:5">
      <c r="A37" s="450"/>
      <c r="B37" s="443">
        <v>727</v>
      </c>
      <c r="C37" s="444" t="s">
        <v>1365</v>
      </c>
      <c r="D37" s="445" t="s">
        <v>1364</v>
      </c>
      <c r="E37" s="445" t="s">
        <v>1364</v>
      </c>
    </row>
    <row r="38" spans="1:5" outlineLevel="1">
      <c r="A38" s="439" t="s">
        <v>1366</v>
      </c>
      <c r="B38" s="443">
        <v>751</v>
      </c>
      <c r="C38" s="444" t="s">
        <v>1335</v>
      </c>
      <c r="D38" s="451">
        <v>41</v>
      </c>
      <c r="E38" s="451">
        <v>41</v>
      </c>
    </row>
    <row r="39" spans="1:5" outlineLevel="1">
      <c r="A39" s="439"/>
      <c r="B39" s="443">
        <v>756</v>
      </c>
      <c r="C39" s="444" t="s">
        <v>1367</v>
      </c>
      <c r="D39" s="448">
        <v>2</v>
      </c>
      <c r="E39" s="448">
        <v>2</v>
      </c>
    </row>
    <row r="40" spans="1:5" ht="24" outlineLevel="1">
      <c r="A40" s="439"/>
      <c r="B40" s="443">
        <v>757</v>
      </c>
      <c r="C40" s="444" t="s">
        <v>1368</v>
      </c>
      <c r="D40" s="448">
        <f t="shared" ref="D40:E40" si="7">source</f>
        <v>41</v>
      </c>
      <c r="E40" s="448">
        <f t="shared" si="7"/>
        <v>41</v>
      </c>
    </row>
    <row r="41" spans="1:5" outlineLevel="1">
      <c r="A41" s="439"/>
      <c r="B41" s="443">
        <v>758</v>
      </c>
      <c r="C41" s="444" t="s">
        <v>1369</v>
      </c>
      <c r="D41" s="445">
        <v>1</v>
      </c>
      <c r="E41" s="445">
        <v>1</v>
      </c>
    </row>
    <row r="42" spans="1:5" outlineLevel="1">
      <c r="A42" s="439"/>
      <c r="B42" s="443">
        <v>759</v>
      </c>
      <c r="C42" s="444" t="s">
        <v>1370</v>
      </c>
      <c r="D42" s="452">
        <v>0</v>
      </c>
      <c r="E42" s="452">
        <v>0</v>
      </c>
    </row>
    <row r="43" spans="1:5" outlineLevel="1">
      <c r="A43" s="439"/>
      <c r="B43" s="443">
        <v>760</v>
      </c>
      <c r="C43" s="444" t="s">
        <v>1371</v>
      </c>
      <c r="D43" s="445"/>
      <c r="E43" s="445"/>
    </row>
    <row r="44" spans="1:5" outlineLevel="1">
      <c r="A44" s="439"/>
      <c r="B44" s="443">
        <v>761</v>
      </c>
      <c r="C44" s="444" t="s">
        <v>1372</v>
      </c>
      <c r="D44" s="445" t="str">
        <f>IF(D42=0,"","CH")</f>
        <v/>
      </c>
      <c r="E44" s="445" t="str">
        <f>IF(E42=0,"","CH")</f>
        <v/>
      </c>
    </row>
    <row r="45" spans="1:5" outlineLevel="1">
      <c r="A45" s="439"/>
      <c r="B45" s="443">
        <v>762</v>
      </c>
      <c r="C45" s="444" t="s">
        <v>1373</v>
      </c>
      <c r="D45" s="448"/>
      <c r="E45" s="448"/>
    </row>
    <row r="46" spans="1:5" outlineLevel="1">
      <c r="A46" s="439" t="s">
        <v>1374</v>
      </c>
      <c r="B46" s="453">
        <v>5616</v>
      </c>
      <c r="C46" s="444" t="s">
        <v>1375</v>
      </c>
      <c r="D46" s="454">
        <f t="shared" ref="D46:E46" si="8">validator</f>
        <v>41</v>
      </c>
      <c r="E46" s="454">
        <f t="shared" si="8"/>
        <v>41</v>
      </c>
    </row>
    <row r="47" spans="1:5">
      <c r="A47" s="439"/>
      <c r="B47" s="453">
        <v>5615</v>
      </c>
      <c r="C47" s="444" t="s">
        <v>1376</v>
      </c>
      <c r="D47" s="455">
        <f t="shared" ref="D47:E47" ca="1" si="9">TODAY()</f>
        <v>44285</v>
      </c>
      <c r="E47" s="455">
        <f t="shared" ca="1" si="9"/>
        <v>44285</v>
      </c>
    </row>
    <row r="48" spans="1:5" ht="36">
      <c r="A48" s="439"/>
      <c r="B48" s="453">
        <v>5619</v>
      </c>
      <c r="C48" s="444" t="s">
        <v>1377</v>
      </c>
      <c r="D48" s="456" t="str">
        <f ca="1">CELL("filename",D55)</f>
        <v>C:\Users\mc\Desktop\[KWM-Biomasse.xlsx]X-Process</v>
      </c>
      <c r="E48" s="456" t="str">
        <f t="shared" ref="E48" ca="1" si="10">CELL("filename",E55)</f>
        <v>C:\Users\mc\Desktop\[KWM-Biomasse.xlsx]X-Process</v>
      </c>
    </row>
    <row r="49" spans="1:5">
      <c r="D49" s="445"/>
      <c r="E49" s="445"/>
    </row>
    <row r="50" spans="1:5">
      <c r="A50" s="458" t="s">
        <v>1378</v>
      </c>
      <c r="D50" s="459" t="str">
        <f t="shared" ref="D50:E50" si="11">IF(LEN(D34)&gt;79,79-LEN(D34),"OK")</f>
        <v>OK</v>
      </c>
      <c r="E50" s="459" t="str">
        <f t="shared" si="11"/>
        <v>OK</v>
      </c>
    </row>
    <row r="51" spans="1:5">
      <c r="D51" s="460"/>
      <c r="E51" s="460"/>
    </row>
    <row r="52" spans="1:5">
      <c r="D52" s="460"/>
      <c r="E52" s="460"/>
    </row>
    <row r="53" spans="1:5">
      <c r="D53" s="460"/>
      <c r="E53" s="460"/>
    </row>
    <row r="54" spans="1:5">
      <c r="D54" s="460"/>
      <c r="E54" s="460"/>
    </row>
    <row r="55" spans="1:5">
      <c r="D55" s="460"/>
      <c r="E55" s="460"/>
    </row>
    <row r="56" spans="1:5">
      <c r="D56" s="460"/>
      <c r="E56" s="460"/>
    </row>
    <row r="57" spans="1:5">
      <c r="D57" s="460"/>
      <c r="E57" s="460"/>
    </row>
    <row r="58" spans="1:5">
      <c r="D58" s="460"/>
      <c r="E58" s="460"/>
    </row>
    <row r="59" spans="1:5">
      <c r="D59" s="460"/>
      <c r="E59" s="460"/>
    </row>
    <row r="60" spans="1:5">
      <c r="D60" s="460"/>
      <c r="E60" s="460"/>
    </row>
    <row r="61" spans="1:5">
      <c r="D61" s="460"/>
      <c r="E61" s="460"/>
    </row>
    <row r="62" spans="1:5">
      <c r="D62" s="460"/>
      <c r="E62" s="460"/>
    </row>
    <row r="63" spans="1:5">
      <c r="D63" s="460"/>
      <c r="E63" s="460"/>
    </row>
    <row r="64" spans="1:5">
      <c r="D64" s="460"/>
      <c r="E64" s="460"/>
    </row>
    <row r="65" spans="4:5" s="442" customFormat="1">
      <c r="D65" s="460"/>
      <c r="E65" s="460"/>
    </row>
    <row r="66" spans="4:5" s="442" customFormat="1">
      <c r="D66" s="460"/>
      <c r="E66" s="460"/>
    </row>
    <row r="67" spans="4:5" s="442" customFormat="1">
      <c r="D67" s="460"/>
      <c r="E67" s="460"/>
    </row>
    <row r="68" spans="4:5" s="442" customFormat="1">
      <c r="D68" s="460"/>
      <c r="E68" s="460"/>
    </row>
    <row r="69" spans="4:5" s="442" customFormat="1">
      <c r="D69" s="460"/>
      <c r="E69" s="460"/>
    </row>
  </sheetData>
  <dataValidations xWindow="786" yWindow="651" count="48">
    <dataValidation allowBlank="1" showInputMessage="1" showErrorMessage="1" promptTitle="LocalName" prompt="do not change._x000a__x000a_The field is updated from the names list." sqref="D17:E17 D20:E23 A16:XFD16" xr:uid="{00000000-0002-0000-0D00-000000000000}"/>
    <dataValidation allowBlank="1" showInputMessage="1" showErrorMessage="1" promptTitle="Name" prompt="Name of the unit process,_x000a__x000a_do not change._x000a__x000a_The field is updated from the names list." sqref="A2:C2 F2:IR2" xr:uid="{00000000-0002-0000-0D00-000001000000}"/>
    <dataValidation allowBlank="1" showInputMessage="1" showErrorMessage="1" promptTitle="Category" prompt="do not change._x000a__x000a_The field is updated from the names list._x000a__x000a_The location in the hierachical tree where the process will be placed" sqref="A20:C20 F20:IR20" xr:uid="{00000000-0002-0000-0D00-000002000000}"/>
    <dataValidation allowBlank="1" showInputMessage="1" showErrorMessage="1" promptTitle="IndexNumber" prompt="Index Number from the names list (sheet &quot;names&quot;). _x000a__x000a_For every newly defined process a description is needed. You can copy/paste the columns to duplicate the template (no empty columns allowed in between)_x000a_" sqref="A1:C1 F1:IR1" xr:uid="{00000000-0002-0000-0D00-000003000000}"/>
    <dataValidation allowBlank="1" showInputMessage="1" showErrorMessage="1" promptTitle="Unit" prompt="do not change._x000a__x000a_The field is updated from the names list._x000a__x000a_It is the unit of the process." sqref="A5:C5 F5:IR5" xr:uid="{00000000-0002-0000-0D00-000004000000}"/>
    <dataValidation allowBlank="1" showInputMessage="1" showErrorMessage="1" promptTitle="InfrastructureProcess" prompt="do not change._x000a__x000a_The field is updated from the names list._x000a__x000a_0= no Infrastructure Process_x000a_1= an Infrastructure Process" sqref="A4:C4 F4:IR4" xr:uid="{00000000-0002-0000-0D00-000005000000}"/>
    <dataValidation allowBlank="1" showInputMessage="1" showErrorMessage="1" promptTitle="Location" prompt="do not change._x000a__x000a_The field is updated from the names list._x000a__x000a_ISO-Letter Codes designating the country or region of the process" sqref="A3:C3 F3:IR3" xr:uid="{00000000-0002-0000-0D00-000006000000}"/>
    <dataValidation allowBlank="1" showInputMessage="1" showErrorMessage="1" promptTitle="Formula" prompt="The field is normally updated automatically from the names list. You can enter the formula manually - if necessary. But it is recommended to update the names list._x000a__x000a_The chemical formula if the process is a chemical substance" sqref="A24:XFD24 D26:E26" xr:uid="{00000000-0002-0000-0D00-000007000000}"/>
    <dataValidation allowBlank="1" showInputMessage="1" showErrorMessage="1" promptTitle="LocalSubCategory" prompt="do not change._x000a__x000a_The field is updated from the names list._x000a__x000a_The location in the hierachical tree where the process will be placed" sqref="A23:C23 F23:IR23" xr:uid="{00000000-0002-0000-0D00-000008000000}"/>
    <dataValidation allowBlank="1" showInputMessage="1" showErrorMessage="1" promptTitle="LocalCategory" prompt="do not change._x000a__x000a_The field is updated from the names list._x000a__x000a_The location in the hierachical tree where the process will be placed (in the local language, see LocalLanguageCode)" sqref="A22:C22 F22:IR22" xr:uid="{00000000-0002-0000-0D00-000009000000}"/>
    <dataValidation allowBlank="1" showInputMessage="1" showErrorMessage="1" promptTitle="SubCategory" prompt="do not change._x000a__x000a_The field is updated from the names list._x000a__x000a_The location in the hierachical tree where the process will be placed (in the local language, see LocalLanguageCode)" sqref="A21:C21 F21:IR21" xr:uid="{00000000-0002-0000-0D00-00000A000000}"/>
    <dataValidation allowBlank="1" showInputMessage="1" showErrorMessage="1" promptTitle="Synonyms" prompt="The field is normally updated from the names list, but you can - if necessary - write the synonyms directly in this field (max. length 80 characters). _x000a__x000a_The synonyms are separated by &quot;//&quot;, e.g.: _x000a_Synonym 1//Synonym 2//Synonym 3" sqref="A17:C17 F17:IR17" xr:uid="{00000000-0002-0000-0D00-00000B000000}"/>
    <dataValidation allowBlank="1" showInputMessage="1" showErrorMessage="1" promptTitle="ProofReadingDetails" prompt="Contains the comment of the reviewer of the dataset._x000a__x000a_Often &quot;passed.&quot; is used, when the review comments are in a separate document._x000a__x000a_If there was no full review, the type of review process (e.g. internal, not reviewed,...) shall be mentioned here. " sqref="A47:C47 F47:IR47" xr:uid="{00000000-0002-0000-0D00-00000C000000}"/>
    <dataValidation allowBlank="1" showInputMessage="1" showErrorMessage="1" promptTitle="OtherProofReadingDetails" prompt="Contains further information from the review process, especially comments received from third parties once the dataset has been published." sqref="A48:C48 F48:IR48 D47:E47" xr:uid="{00000000-0002-0000-0D00-00000D000000}"/>
    <dataValidation allowBlank="1" showInputMessage="1" showErrorMessage="1" promptTitle="CASNumber" prompt="do not change._x000a__x000a_The field is updated from the names list._x000a__x000a_The Chemical Abstract Number if the process output is a chemical, metal or another substance with a CAS-number." sqref="A26:C26 F26:IR26 H27:H29" xr:uid="{00000000-0002-0000-0D00-00000E000000}"/>
    <dataValidation allowBlank="1" showInputMessage="1" showErrorMessage="1" promptTitle="StartDate" prompt="Start date of the time period for which the dataset is valid, presented as_x000a_- a complete date (year-month-day)_x000a_- a year (0000) _x000a_- a year-month (0000-00)_x000a__x000a_Often the project start year is used here." sqref="D28:E28 A27:G27 I27:IR27" xr:uid="{00000000-0002-0000-0D00-00000F000000}"/>
    <dataValidation allowBlank="1" showInputMessage="1" showErrorMessage="1" promptTitle="EndDate" prompt="End date of the time period for which the dataset is valid, presented as_x000a_- a complete date (year-month-day)_x000a_- a year (0000) _x000a_- a year-month (0000-00)_x000a__x000a_Often the project end year is used here." sqref="A28:C28 F28:G28 I28:IR28" xr:uid="{00000000-0002-0000-0D00-000010000000}"/>
    <dataValidation allowBlank="1" showInputMessage="1" showErrorMessage="1" prompt="This cell is automatically updated from the names List according to the index number in L1. It needs to be identical to the output product." sqref="D2:E5" xr:uid="{00000000-0002-0000-0D00-000011000000}"/>
    <dataValidation allowBlank="1" showInputMessage="1" showErrorMessage="1" promptTitle="Geography text" prompt="Text comprises additional aspects of the location, namely whether:_x000a_- certain areas are exempted from the location indicated_x000a_- data are only valid for certain regions within the location indicated_x000a_- some exchanges are extrapolated from other geog. areas" sqref="A31:XFD31" xr:uid="{00000000-0002-0000-0D00-000012000000}"/>
    <dataValidation allowBlank="1" showInputMessage="1" showErrorMessage="1" promptTitle="Technology Text" prompt="Describes the technological properties of the unit process. If the process comprises several subprocesses, the corresponding technologies should be reported as well. Professional nomenclature should be used for the description. " sqref="A32:XFD32" xr:uid="{00000000-0002-0000-0D00-000013000000}"/>
    <dataValidation allowBlank="1" showInputMessage="1" showErrorMessage="1" promptTitle="OtherPeriodText" prompt="Additional explanations concerning the temporal validity of the flow data reported. It may comprise information about:_x000a_- how strong the temporal correlation is for the unit process at issue _x000a_- why data is not valid for the entire period_x000a_- ..._x000a_" sqref="A30:XFD30" xr:uid="{00000000-0002-0000-0D00-000014000000}"/>
    <dataValidation allowBlank="1" showInputMessage="1" showErrorMessage="1" promptTitle="GeneralComment" prompt="Free text for general information about the dataset. It may contain information about:_x000a_- the intended application of the dataset_x000a_- modelling choices (inclusions/exclusions, lifetime, capacity)_x000a_- information sources used_x000a_- data selection principles_x000a_" sqref="A18:XFD18" xr:uid="{00000000-0002-0000-0D00-000015000000}"/>
    <dataValidation allowBlank="1" showInputMessage="1" showErrorMessage="1" promptTitle="ProductionVolume" prompt="Indicates the market area consumption volume (NOT necessarily identical with the production volume) in the geographical area indicated of the product/service at issue. _x000a__x000a_The market volume should be given in absolute terms per year and in common units. " sqref="A34:XFD34" xr:uid="{00000000-0002-0000-0D00-000016000000}"/>
    <dataValidation allowBlank="1" showInputMessage="1" showErrorMessage="1" promptTitle="Sampling Procedure" prompt="Indicates the sampling procedure applied for quantifying the exchanges. It should be reported whether the sampling procedure for particular elementary and intermediate product flows differ from the general procedure." sqref="A35:XFD35" xr:uid="{00000000-0002-0000-0D00-000017000000}"/>
    <dataValidation allowBlank="1" showInputMessage="1" showErrorMessage="1" promptTitle="Extrapolations" prompt="Describes extrapolations of data from another time period, another geographical area or another technology and the way these extrapolations have been carried out." sqref="A36:XFD36" xr:uid="{00000000-0002-0000-0D00-000018000000}"/>
    <dataValidation allowBlank="1" showInputMessage="1" showErrorMessage="1" promptTitle="Copyright" prompt="Indicates whether or not a copyright exists._x000a_ '1' (Yes) or '0' (No) should be entered correspondingly." sqref="A41:XFD41" xr:uid="{00000000-0002-0000-0D00-000019000000}"/>
    <dataValidation allowBlank="1" showInputMessage="1" showErrorMessage="1" promptTitle="Person" prompt="ID number of the person who generated the dataset. It must correspond to an ID number of a person listed in the sheet X-Person." sqref="A38:XFD38" xr:uid="{00000000-0002-0000-0D00-00001A000000}"/>
    <dataValidation allowBlank="1" showInputMessage="1" showErrorMessage="1" promptTitle="DataPublishedIN" prompt="Indicates whether and where the dataset has been published._x000a_The codes are:_x000a__x000a_0=Data as such not published (default)_x000a_1=The data of some unit processes or subsystems are published_x000a_2=Data has been published entirely in 'referenceToPublishedSource'._x000a_" sqref="A39:XFD39" xr:uid="{00000000-0002-0000-0D00-00001B000000}"/>
    <dataValidation allowBlank="1" showInputMessage="1" showErrorMessage="1" promptTitle="ReferenceToPublishedSource" prompt="ID number for the report in which the dataset is documented. It must correspond to an ID number of a source listed in X-Source." sqref="A40:XFD40" xr:uid="{00000000-0002-0000-0D00-00001C000000}"/>
    <dataValidation allowBlank="1" showInputMessage="1" showErrorMessage="1" promptTitle="DataValidForEntirePeriod" prompt="Indicates whether or not the process data (elementary and intermediate product flows reported under flow data) are valid for the entire time period stated. If not, explanations may be given under 'OtherPeriodText'._x000a_1=Yes_x000a_2=No" sqref="A29:G29 I29:XFD29" xr:uid="{00000000-0002-0000-0D00-00001D000000}"/>
    <dataValidation allowBlank="1" showInputMessage="1" showErrorMessage="1" promptTitle="Type" prompt="do not change._x000a__x000a_updated automaticaly from the names list._x000a__x000a_Indicates the kind of data that is represented by this dataset. The code is: _x000a_1=Unit process_x000a_5=Multioutput process." sqref="A6:XFD6" xr:uid="{00000000-0002-0000-0D00-00001E000000}"/>
    <dataValidation allowBlank="1" showInputMessage="1" showErrorMessage="1" promptTitle="energyValues" prompt="not used" sqref="A8:XFD8" xr:uid="{00000000-0002-0000-0D00-00001F000000}"/>
    <dataValidation allowBlank="1" showInputMessage="1" showErrorMessage="1" promptTitle="LanguageCode" prompt="2 letter ISO language codes are used. Default language is English. Lower case letters are used." sqref="A9:XFD9" xr:uid="{00000000-0002-0000-0D00-000020000000}"/>
    <dataValidation allowBlank="1" showInputMessage="1" showErrorMessage="1" promptTitle="LocalLanguageCode" prompt="2 letter ISO language codes are used. Default localLanguage is German. Lower case letters are used." sqref="A10:XFD10" xr:uid="{00000000-0002-0000-0D00-000021000000}"/>
    <dataValidation allowBlank="1" showInputMessage="1" showErrorMessage="1" promptTitle="Person" prompt="ID number of the person who prepared the dataset and entered the dataset into the database. It must correspond to an ID number of a person listed in the sheet X-Person." sqref="A11:XFD11" xr:uid="{00000000-0002-0000-0D00-000022000000}"/>
    <dataValidation allowBlank="1" showInputMessage="1" showErrorMessage="1" promptTitle="DataSetRelatesToProduct" prompt="Indicates whether the dataset relates to a process/service or not._x000a_1=Yes" sqref="A13:XFD13" xr:uid="{00000000-0002-0000-0D00-000023000000}"/>
    <dataValidation allowBlank="1" showInputMessage="1" showErrorMessage="1" promptTitle="IncludedProcesses" prompt="Contains a description of the (sub-)processes which are combined to form one unit process. As far as possible and feasible, data should be reported on the level of detail it has been received. " sqref="A14:XFD14" xr:uid="{00000000-0002-0000-0D00-000024000000}"/>
    <dataValidation allowBlank="1" showInputMessage="1" showErrorMessage="1" promptTitle="Amount" prompt="Indicates the amount of reference flow (product/service, elementary flow, impact category). _x000a__x000a_Always 1." sqref="A15:XFD15" xr:uid="{00000000-0002-0000-0D00-000025000000}"/>
    <dataValidation allowBlank="1" showInputMessage="1" showErrorMessage="1" promptTitle="Percent" prompt="Indicates the share in market supply in the geographical area of the production data considered for this assessment." sqref="A33:XFD33" xr:uid="{00000000-0002-0000-0D00-000026000000}"/>
    <dataValidation allowBlank="1" showInputMessage="1" showErrorMessage="1" promptTitle="PageNumbers" prompt="Indicates the page numbers in the publication where the table with the unit process raw data, and the characterisation, damage or weighting factors of the impact category are documented._x000a__x000a_If the page is not known, indicate the Chapter or Header instead." sqref="A45:XFD45" xr:uid="{00000000-0002-0000-0D00-000027000000}"/>
    <dataValidation allowBlank="1" showInputMessage="1" showErrorMessage="1" promptTitle="InfrastructureIncluded" prompt="Should always be 1._x000a__x000a_I.e. the dataset has to consider the infrastructure._x000a_" sqref="A19:XFD19" xr:uid="{00000000-0002-0000-0D00-000028000000}"/>
    <dataValidation allowBlank="1" showInputMessage="1" showErrorMessage="1" promptTitle="StatisticalClassification" prompt="not used" sqref="A25:XFD25" xr:uid="{00000000-0002-0000-0D00-000029000000}"/>
    <dataValidation allowBlank="1" showInputMessage="1" showErrorMessage="1" promptTitle="AccessRestrictedTo" prompt="Indicates possible access restrictions for the dataset. _x000a_0=Public (Default)_x000a_1=ETH Domain_x000a_2=ecoinvent 2000_x000a_3=Institute_x000a_If access is restricted to a particular institute, 'companyCode' and 'countryCode' indicates the institute that has access to the data." sqref="A42:XFD42" xr:uid="{00000000-0002-0000-0D00-00002A000000}"/>
    <dataValidation allowBlank="1" showInputMessage="1" showErrorMessage="1" promptTitle="CompanyCode" prompt="Only required when AccessRestrictedTo=3,_x000a_otherwise it MUST be EMPTY._x000a__x000a_7 letter code with which organisations/institutes that co-operate within one of the database quality networks are characterised and identified. 'countryCode' is required additionally._x000a_" sqref="A43:XFD43" xr:uid="{00000000-0002-0000-0D00-00002B000000}"/>
    <dataValidation allowBlank="1" showInputMessage="1" showErrorMessage="1" promptTitle="CountryCode" prompt="Only required when AccessRestrictedTo=3,_x000a_otherwise it MUST be EMPTY._x000a__x000a_2 letter ISO-country codes are used to indicate the country where organisations/institutes are located which co-operate within one of the database quality networks" sqref="A44:XFD44" xr:uid="{00000000-0002-0000-0D00-00002C000000}"/>
    <dataValidation allowBlank="1" showInputMessage="1" showErrorMessage="1" promptTitle="Validator" prompt="Indicates the person who carried out the review. ID number must correspond to an ID number of a person listed in the respective dataset (X-Person)._x000a__x000a_DEFAULT value is empty_x000a__x000a_If no review is conducted, this value has to be identical to DataGenerator." sqref="A46:XFD46" xr:uid="{00000000-0002-0000-0D00-00002D000000}"/>
    <dataValidation allowBlank="1" showInputMessage="1" showErrorMessage="1" promptTitle="UncertaintyAdjustments" prompt="For datasets where the additional uncertainty from lacking representativeness has been included in the quantified uncertainty values ('minValue' and 'maxValue'), this field reports the original representativeness as well as the calculation procedure." sqref="A37:XFD37" xr:uid="{00000000-0002-0000-0D00-00002E000000}"/>
    <dataValidation allowBlank="1" showInputMessage="1" showErrorMessage="1" promptTitle="Version" prompt="The digits after the decimal point (e.g., 1.01, 1.02, etc.) are used for minor updates (corrected errors) within the period of two major updates (increase of the first digit from e.g. 1.xx to 2.00). The version number is placed manually." sqref="A7:XFD7" xr:uid="{00000000-0002-0000-0D00-00002F000000}"/>
  </dataValidations>
  <printOptions horizontalCentered="1" verticalCentered="1" headings="1"/>
  <pageMargins left="0.78740157480314965" right="0.55118110236220474" top="0.78740157480314965" bottom="0.78740157480314965" header="0.51181102362204722" footer="0.51181102362204722"/>
  <pageSetup paperSize="9" scale="88" fitToWidth="0" orientation="portrait" r:id="rId1"/>
  <headerFooter alignWithMargins="0">
    <oddHeader>&amp;C&amp;A&amp;R&amp;F</oddHeader>
    <oddFooter>&amp;LESU-services&amp;C&amp;D&amp;RSeite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AE281"/>
  <sheetViews>
    <sheetView topLeftCell="F1" zoomScale="85" zoomScaleNormal="85" workbookViewId="0">
      <selection activeCell="H6" sqref="H6"/>
    </sheetView>
  </sheetViews>
  <sheetFormatPr baseColWidth="10" defaultColWidth="11.42578125" defaultRowHeight="12.75" outlineLevelCol="1"/>
  <cols>
    <col min="1" max="1" width="4.28515625" style="815" hidden="1" customWidth="1" outlineLevel="1"/>
    <col min="2" max="5" width="45.7109375" style="846" hidden="1" customWidth="1" outlineLevel="1"/>
    <col min="6" max="6" width="2.140625" style="815" customWidth="1" collapsed="1"/>
    <col min="7" max="7" width="63.7109375" style="816" customWidth="1"/>
    <col min="8" max="8" width="51.140625" style="815" bestFit="1" customWidth="1"/>
    <col min="9" max="9" width="5.5703125" style="815" customWidth="1"/>
    <col min="10" max="10" width="20.7109375" style="823" hidden="1" customWidth="1" outlineLevel="1"/>
    <col min="11" max="13" width="20.7109375" style="815" hidden="1" customWidth="1" outlineLevel="1"/>
    <col min="14" max="14" width="95.7109375" style="815" customWidth="1" collapsed="1"/>
    <col min="15" max="15" width="9.7109375" style="815" hidden="1" customWidth="1" outlineLevel="1"/>
    <col min="16" max="16" width="15.42578125" style="815" hidden="1" customWidth="1" outlineLevel="1"/>
    <col min="17" max="17" width="20" style="815" hidden="1" customWidth="1" outlineLevel="1"/>
    <col min="18" max="18" width="10.7109375" style="815" hidden="1" customWidth="1" outlineLevel="1"/>
    <col min="19" max="19" width="10.140625" style="815" hidden="1" customWidth="1" outlineLevel="1"/>
    <col min="20" max="20" width="9.85546875" style="815" hidden="1" customWidth="1" outlineLevel="1"/>
    <col min="21" max="21" width="53.140625" style="815" hidden="1" customWidth="1" outlineLevel="1"/>
    <col min="22" max="23" width="14.5703125" style="815" hidden="1" customWidth="1" outlineLevel="1"/>
    <col min="24" max="24" width="13" style="815" hidden="1" customWidth="1" outlineLevel="1"/>
    <col min="25" max="25" width="14.42578125" style="815" hidden="1" customWidth="1" outlineLevel="1"/>
    <col min="26" max="26" width="34.28515625" style="815" hidden="1" customWidth="1" outlineLevel="1"/>
    <col min="27" max="27" width="12.28515625" style="815" hidden="1" customWidth="1" outlineLevel="1"/>
    <col min="28" max="28" width="11.42578125" style="815" hidden="1" customWidth="1" outlineLevel="1" collapsed="1"/>
    <col min="29" max="30" width="11.42578125" style="815" hidden="1" customWidth="1" outlineLevel="1"/>
    <col min="31" max="31" width="11.42578125" style="815" collapsed="1"/>
    <col min="32" max="16384" width="11.42578125" style="815"/>
  </cols>
  <sheetData>
    <row r="1" spans="1:30">
      <c r="B1" s="825" t="s">
        <v>11</v>
      </c>
      <c r="C1" s="819" t="s">
        <v>1845</v>
      </c>
      <c r="D1" s="819" t="s">
        <v>13</v>
      </c>
      <c r="E1" s="819" t="str" cm="1">
        <f t="array" aca="1" ref="E1:E106" ca="1">OFFSET(B1:B106,0,sprache-1)</f>
        <v>English</v>
      </c>
      <c r="F1" s="819"/>
      <c r="H1" s="815">
        <f>COLUMN()</f>
        <v>8</v>
      </c>
      <c r="J1" s="825" t="s">
        <v>11</v>
      </c>
      <c r="K1" s="819" t="s">
        <v>1845</v>
      </c>
      <c r="L1" s="819" t="s">
        <v>13</v>
      </c>
      <c r="M1" s="819" t="str" cm="1">
        <f t="array" aca="1" ref="M1:M105" ca="1">OFFSET(J1:J105,0,sprache-1)</f>
        <v>English</v>
      </c>
      <c r="Q1" s="816" t="s">
        <v>1882</v>
      </c>
      <c r="R1" s="816" t="s">
        <v>1608</v>
      </c>
      <c r="S1" s="842" t="s">
        <v>2150</v>
      </c>
      <c r="T1" s="842" t="s">
        <v>2151</v>
      </c>
      <c r="U1" s="816" t="s">
        <v>1945</v>
      </c>
      <c r="V1" s="81">
        <v>29</v>
      </c>
      <c r="W1" s="81">
        <v>35</v>
      </c>
      <c r="X1" s="81">
        <v>34</v>
      </c>
      <c r="Y1" s="81">
        <v>31</v>
      </c>
      <c r="AA1" s="81">
        <v>29</v>
      </c>
      <c r="AB1" s="81">
        <v>35</v>
      </c>
      <c r="AC1" s="81">
        <v>34</v>
      </c>
      <c r="AD1" s="81">
        <v>31</v>
      </c>
    </row>
    <row r="2" spans="1:30" ht="18" customHeight="1">
      <c r="A2" s="815">
        <v>2</v>
      </c>
      <c r="B2" s="819" t="s">
        <v>1865</v>
      </c>
      <c r="C2" s="819" t="s">
        <v>2394</v>
      </c>
      <c r="D2" s="819" t="s">
        <v>1866</v>
      </c>
      <c r="E2" s="846" t="str">
        <f ca="1"/>
        <v>naturemade star certification: Energy products from biogas plants</v>
      </c>
      <c r="G2" s="1031" t="str">
        <f ca="1">E2</f>
        <v>naturemade star certification: Energy products from biogas plants</v>
      </c>
      <c r="J2" s="828" t="s">
        <v>352</v>
      </c>
      <c r="K2" s="819"/>
      <c r="L2" s="819"/>
      <c r="M2" s="819">
        <f ca="1"/>
        <v>0</v>
      </c>
      <c r="N2" s="853"/>
      <c r="O2" s="816" t="s">
        <v>1892</v>
      </c>
      <c r="Q2" s="815">
        <f>COLUMN()</f>
        <v>17</v>
      </c>
      <c r="V2" s="86" t="str">
        <f>INDEX(menuesBG!$1:$1048576,V1,sprache)</f>
        <v>Eco-indicator 99 points</v>
      </c>
      <c r="W2" s="86" t="str">
        <f>INDEX(menuesBG!$1:$1048576,W1,sprache)</f>
        <v>Carbon footprint 100a 2013</v>
      </c>
      <c r="X2" s="86" t="str">
        <f>INDEX(menuesBG!$1:$1048576,X1,sprache)</f>
        <v>Demand for non-renewable energy resources</v>
      </c>
      <c r="Y2" s="86" t="str">
        <f>INDEX(menuesBG!$1:$1048576,Y1,sprache)</f>
        <v>Ecological scarcity points 2013</v>
      </c>
      <c r="AA2" s="86" t="str">
        <f>INDEX(menuesBG!$1:$1048576,AA1,sprache)</f>
        <v>Eco-indicator 99 points</v>
      </c>
      <c r="AB2" s="86" t="str">
        <f>INDEX(menuesBG!$1:$1048576,AB1,sprache)</f>
        <v>Carbon footprint 100a 2013</v>
      </c>
      <c r="AC2" s="86" t="str">
        <f>INDEX(menuesBG!$1:$1048576,AC1,sprache)</f>
        <v>Demand for non-renewable energy resources</v>
      </c>
      <c r="AD2" s="86" t="str">
        <f>INDEX(menuesBG!$1:$1048576,AD1,sprache)</f>
        <v>Ecological scarcity points 2013</v>
      </c>
    </row>
    <row r="3" spans="1:30" ht="24.4" customHeight="1">
      <c r="B3" s="834" t="s">
        <v>352</v>
      </c>
      <c r="C3" s="834" t="s">
        <v>352</v>
      </c>
      <c r="D3" s="834" t="s">
        <v>352</v>
      </c>
      <c r="E3" s="846" t="str">
        <f ca="1"/>
        <v/>
      </c>
      <c r="G3" s="972" t="str">
        <f>IF(H7="","",name&amp;", "&amp;H7)</f>
        <v/>
      </c>
      <c r="J3" s="825"/>
      <c r="K3" s="819"/>
      <c r="L3" s="819"/>
      <c r="M3" s="819">
        <f ca="1"/>
        <v>0</v>
      </c>
      <c r="N3" s="972"/>
      <c r="O3" s="824" t="s">
        <v>352</v>
      </c>
      <c r="V3" s="815">
        <f>SimaProEI99</f>
        <v>2</v>
      </c>
      <c r="W3" s="815">
        <f>SimaProGWP</f>
        <v>3</v>
      </c>
      <c r="X3" s="815">
        <f>SimaProCED</f>
        <v>4</v>
      </c>
      <c r="Y3" s="815">
        <f>SimaProUBP</f>
        <v>5</v>
      </c>
      <c r="AA3" s="815">
        <f>SimaProEI99</f>
        <v>2</v>
      </c>
      <c r="AB3" s="815">
        <f>SimaProGWP</f>
        <v>3</v>
      </c>
      <c r="AC3" s="815">
        <f>SimaProCED</f>
        <v>4</v>
      </c>
      <c r="AD3" s="815">
        <f>SimaProEI99</f>
        <v>2</v>
      </c>
    </row>
    <row r="4" spans="1:30" ht="18" customHeight="1">
      <c r="B4" s="834" t="s">
        <v>352</v>
      </c>
      <c r="C4" s="834" t="s">
        <v>352</v>
      </c>
      <c r="D4" s="834" t="s">
        <v>352</v>
      </c>
      <c r="E4" s="846" t="str">
        <f ca="1"/>
        <v/>
      </c>
      <c r="G4" s="972"/>
      <c r="J4" s="825" t="s">
        <v>1837</v>
      </c>
      <c r="K4" s="819" t="s">
        <v>1968</v>
      </c>
      <c r="L4" s="819" t="s">
        <v>1969</v>
      </c>
      <c r="M4" s="819" t="str">
        <f ca="1"/>
        <v>Notes and warnings</v>
      </c>
      <c r="N4" s="972" t="str">
        <f ca="1">M4</f>
        <v>Notes and warnings</v>
      </c>
      <c r="O4" s="824" t="s">
        <v>352</v>
      </c>
    </row>
    <row r="5" spans="1:30" ht="18" customHeight="1">
      <c r="A5" s="815">
        <v>4</v>
      </c>
      <c r="B5" s="819" t="s">
        <v>1850</v>
      </c>
      <c r="C5" s="819" t="s">
        <v>1853</v>
      </c>
      <c r="D5" s="819" t="s">
        <v>1852</v>
      </c>
      <c r="E5" s="846" t="str">
        <f ca="1"/>
        <v>Plant</v>
      </c>
      <c r="G5" s="973" t="str">
        <f t="shared" ref="G5:G11" ca="1" si="0">E5</f>
        <v>Plant</v>
      </c>
      <c r="H5" s="973"/>
      <c r="I5" s="973"/>
      <c r="J5" s="828" t="s">
        <v>352</v>
      </c>
      <c r="K5" s="834" t="s">
        <v>352</v>
      </c>
      <c r="L5" s="834" t="s">
        <v>352</v>
      </c>
      <c r="M5" s="819" t="str">
        <f ca="1"/>
        <v/>
      </c>
      <c r="N5" s="973"/>
      <c r="O5" s="824" t="s">
        <v>352</v>
      </c>
      <c r="V5" s="928"/>
      <c r="W5" s="928"/>
      <c r="X5" s="928"/>
      <c r="Y5" s="928"/>
    </row>
    <row r="6" spans="1:30" ht="18" customHeight="1">
      <c r="B6" s="819" t="s">
        <v>1324</v>
      </c>
      <c r="C6" s="819" t="s">
        <v>1851</v>
      </c>
      <c r="D6" s="819" t="s">
        <v>1324</v>
      </c>
      <c r="E6" s="846" t="str">
        <f ca="1"/>
        <v>Name</v>
      </c>
      <c r="G6" s="819" t="str">
        <f t="shared" ca="1" si="0"/>
        <v>Name</v>
      </c>
      <c r="H6" s="859"/>
      <c r="I6" s="949">
        <f>IF(O6,1,0)</f>
        <v>0</v>
      </c>
      <c r="J6" s="828" t="s">
        <v>2306</v>
      </c>
      <c r="K6" s="834" t="s">
        <v>2310</v>
      </c>
      <c r="L6" s="834" t="s">
        <v>2311</v>
      </c>
      <c r="M6" s="819" t="str">
        <f ca="1"/>
        <v>Please enter plant name</v>
      </c>
      <c r="N6" s="822" t="str">
        <f ca="1">IFERROR(IF(O6,"",M6),$M$8)</f>
        <v>Please enter plant name</v>
      </c>
      <c r="O6" s="824" t="b">
        <f>H6&gt;0</f>
        <v>0</v>
      </c>
      <c r="V6" s="928"/>
      <c r="W6" s="928"/>
      <c r="X6" s="928"/>
      <c r="Y6" s="928"/>
    </row>
    <row r="7" spans="1:30" ht="18" customHeight="1">
      <c r="B7" s="846" t="s">
        <v>1847</v>
      </c>
      <c r="C7" s="819" t="s">
        <v>1848</v>
      </c>
      <c r="D7" s="819" t="s">
        <v>1849</v>
      </c>
      <c r="E7" s="846" t="str">
        <f ca="1"/>
        <v>Reference period</v>
      </c>
      <c r="G7" s="819" t="str">
        <f t="shared" ca="1" si="0"/>
        <v>Reference period</v>
      </c>
      <c r="H7" s="860"/>
      <c r="I7" s="949">
        <f>IF(O7,1,0)</f>
        <v>0</v>
      </c>
      <c r="J7" s="828" t="s">
        <v>2307</v>
      </c>
      <c r="K7" s="834" t="s">
        <v>2309</v>
      </c>
      <c r="L7" s="834" t="s">
        <v>2308</v>
      </c>
      <c r="M7" s="819" t="str">
        <f ca="1"/>
        <v>Please specify reference period (all entries cover 1 year)</v>
      </c>
      <c r="N7" s="822" t="str">
        <f ca="1">IFERROR(IF(O7,"",M7),$M$8)</f>
        <v>Please specify reference period (all entries cover 1 year)</v>
      </c>
      <c r="O7" s="824" t="b">
        <f>H7&gt;0</f>
        <v>0</v>
      </c>
      <c r="V7" s="928"/>
      <c r="W7" s="928"/>
      <c r="X7" s="928"/>
      <c r="Y7" s="928"/>
    </row>
    <row r="8" spans="1:30" ht="18" hidden="1" customHeight="1">
      <c r="A8" s="815">
        <v>3</v>
      </c>
      <c r="B8" s="846" t="s">
        <v>1723</v>
      </c>
      <c r="C8" s="846" t="s">
        <v>1725</v>
      </c>
      <c r="D8" s="846" t="s">
        <v>1724</v>
      </c>
      <c r="E8" s="819" t="str">
        <f ca="1"/>
        <v>Language</v>
      </c>
      <c r="F8" s="819"/>
      <c r="G8" s="862" t="str">
        <f t="shared" ca="1" si="0"/>
        <v>Language</v>
      </c>
      <c r="H8" s="815" t="str">
        <f>Info!F7</f>
        <v>English</v>
      </c>
      <c r="I8" s="949"/>
      <c r="J8" s="828" t="s">
        <v>1822</v>
      </c>
      <c r="K8" s="834" t="s">
        <v>1823</v>
      </c>
      <c r="L8" s="838" t="s">
        <v>1824</v>
      </c>
      <c r="M8" s="819" t="str">
        <f ca="1"/>
        <v>Fill in selection matrix for selected language</v>
      </c>
      <c r="N8" s="851"/>
      <c r="O8" s="824" t="s">
        <v>352</v>
      </c>
      <c r="P8" s="815">
        <f>MATCH(Info!F7,menuesBG!F2:F4,0)</f>
        <v>3</v>
      </c>
      <c r="V8" s="928"/>
      <c r="W8" s="928"/>
      <c r="X8" s="928"/>
      <c r="Y8" s="928"/>
    </row>
    <row r="9" spans="1:30" ht="18" customHeight="1">
      <c r="A9" s="815">
        <v>107</v>
      </c>
      <c r="B9" s="846" t="s">
        <v>862</v>
      </c>
      <c r="C9" s="846" t="s">
        <v>868</v>
      </c>
      <c r="D9" s="846" t="s">
        <v>1242</v>
      </c>
      <c r="E9" s="846" t="str">
        <f ca="1"/>
        <v>Location</v>
      </c>
      <c r="G9" s="819" t="str">
        <f t="shared" ca="1" si="0"/>
        <v>Location</v>
      </c>
      <c r="H9" s="860"/>
      <c r="I9" s="949">
        <f>IF(O9,1,0)</f>
        <v>0</v>
      </c>
      <c r="J9" s="825" t="s">
        <v>1825</v>
      </c>
      <c r="K9" s="825" t="s">
        <v>1971</v>
      </c>
      <c r="L9" s="825" t="s">
        <v>1970</v>
      </c>
      <c r="M9" s="819" t="str">
        <f ca="1"/>
        <v>Please select the country in which the plant is located</v>
      </c>
      <c r="N9" s="822" t="str">
        <f ca="1">IFERROR(IF(O9,"",M9),$M$8)</f>
        <v>Please select the country in which the plant is located</v>
      </c>
      <c r="O9" s="815" t="b">
        <f>ISNUMBER(Standort)</f>
        <v>0</v>
      </c>
      <c r="P9" s="815" t="e">
        <f>MATCH(MainInput!H9,menuesBG!$F$108:$F$114,0)</f>
        <v>#N/A</v>
      </c>
      <c r="Q9" s="852" t="e">
        <f>menuesBG!H107</f>
        <v>#N/A</v>
      </c>
      <c r="R9" s="852"/>
      <c r="S9" s="852"/>
      <c r="T9" s="852"/>
      <c r="V9" s="928"/>
      <c r="W9" s="928"/>
      <c r="X9" s="928"/>
      <c r="Y9" s="928"/>
    </row>
    <row r="10" spans="1:30" ht="18" customHeight="1">
      <c r="A10" s="815">
        <v>6</v>
      </c>
      <c r="B10" s="819" t="s">
        <v>1854</v>
      </c>
      <c r="C10" s="819" t="s">
        <v>1856</v>
      </c>
      <c r="D10" s="819" t="s">
        <v>1857</v>
      </c>
      <c r="E10" s="846" t="str">
        <f ca="1"/>
        <v>Plant type</v>
      </c>
      <c r="G10" s="1052" t="str">
        <f t="shared" ca="1" si="0"/>
        <v>Plant type</v>
      </c>
      <c r="H10" s="860"/>
      <c r="I10" s="949">
        <f>IF(ISNA(O10),0,IF(O10,1,-1))</f>
        <v>0</v>
      </c>
      <c r="J10" s="825" t="s">
        <v>2152</v>
      </c>
      <c r="K10" s="825" t="s">
        <v>2153</v>
      </c>
      <c r="L10" s="825" t="s">
        <v>2154</v>
      </c>
      <c r="M10" s="819" t="str">
        <f ca="1"/>
        <v>For testing of industrial waste water please contact VUE naturemade</v>
      </c>
      <c r="N10" s="822" t="str">
        <f ca="1">IFERROR(IF(O10,"",M10),$M$8)</f>
        <v>Fill in selection matrix for selected language</v>
      </c>
      <c r="O10" s="815" t="e">
        <f>P10&lt;4</f>
        <v>#N/A</v>
      </c>
      <c r="P10" s="815" t="e">
        <f>MATCH(MainInput!H10,menuesBG!$F$57:$F$59,0)</f>
        <v>#N/A</v>
      </c>
      <c r="U10" s="864"/>
      <c r="V10" s="928"/>
      <c r="W10" s="928"/>
      <c r="X10" s="928"/>
      <c r="Y10" s="928"/>
    </row>
    <row r="11" spans="1:30" ht="18" customHeight="1">
      <c r="A11" s="815">
        <f>ROW()</f>
        <v>11</v>
      </c>
      <c r="B11" s="819" t="s">
        <v>2156</v>
      </c>
      <c r="C11" s="819" t="s">
        <v>1855</v>
      </c>
      <c r="D11" s="819" t="s">
        <v>2322</v>
      </c>
      <c r="E11" s="846" t="str">
        <f ca="1"/>
        <v>Fermenter volume</v>
      </c>
      <c r="G11" s="819" t="str">
        <f t="shared" ca="1" si="0"/>
        <v>Fermenter volume</v>
      </c>
      <c r="H11" s="855"/>
      <c r="I11" s="949">
        <f>IF(O11,1,0)</f>
        <v>0</v>
      </c>
      <c r="J11" s="825" t="s">
        <v>2330</v>
      </c>
      <c r="K11" s="825" t="s">
        <v>2331</v>
      </c>
      <c r="L11" s="825" t="s">
        <v>2332</v>
      </c>
      <c r="M11" s="819" t="str">
        <f ca="1"/>
        <v>Input value fermenter size (in m3) missing</v>
      </c>
      <c r="N11" s="822" t="str">
        <f ca="1">IFERROR(IF(O11,"",M11),$M$8)</f>
        <v>Input value fermenter size (in m3) missing</v>
      </c>
      <c r="O11" s="824" t="b">
        <f>H11&gt;0</f>
        <v>0</v>
      </c>
      <c r="R11" s="815">
        <v>1</v>
      </c>
      <c r="U11" s="864" t="e" cm="1">
        <f t="array" aca="1" ref="U11" ca="1">INDEX(menuesBG!$1:$1048576,MATCH(MainInput!H10,menuesBG!F:F,0),COLUMN(menuesBG!$H$1))</f>
        <v>#N/A</v>
      </c>
      <c r="V11" s="867" t="e" cm="1">
        <f t="array" aca="1" ref="V11" ca="1">INDEX(SimaPro!$1:$1048576,V$3,MATCH(MainInput!$U11,SimaPro!$1:$1,0))*$R11*$H11</f>
        <v>#N/A</v>
      </c>
      <c r="W11" s="867" t="e" cm="1">
        <f t="array" aca="1" ref="W11" ca="1">INDEX(SimaPro!$1:$1048576,W$3,MATCH(MainInput!$U11,SimaPro!$1:$1,0))*$R11*$H11</f>
        <v>#N/A</v>
      </c>
      <c r="X11" s="867" t="e" cm="1">
        <f t="array" aca="1" ref="X11" ca="1">INDEX(SimaPro!$1:$1048576,X$3,MATCH(MainInput!$U11,SimaPro!$1:$1,0))*$R11*$H11</f>
        <v>#N/A</v>
      </c>
      <c r="Y11" s="867" t="e" cm="1">
        <f t="array" aca="1" ref="Y11" ca="1">INDEX(SimaPro!$1:$1048576,Y$3,MATCH(MainInput!$U11,SimaPro!$1:$1,0))*$R11*$H11</f>
        <v>#N/A</v>
      </c>
    </row>
    <row r="12" spans="1:30" ht="18" customHeight="1">
      <c r="B12" s="834" t="s">
        <v>352</v>
      </c>
      <c r="C12" s="834" t="s">
        <v>352</v>
      </c>
      <c r="D12" s="834" t="s">
        <v>352</v>
      </c>
      <c r="E12" s="846" t="str">
        <f ca="1"/>
        <v/>
      </c>
      <c r="G12" s="847"/>
      <c r="H12" s="847"/>
      <c r="J12" s="825"/>
      <c r="K12" s="825"/>
      <c r="L12" s="825"/>
      <c r="M12" s="819">
        <f ca="1"/>
        <v>0</v>
      </c>
      <c r="N12" s="822"/>
      <c r="O12" s="824" t="s">
        <v>352</v>
      </c>
      <c r="V12" s="867"/>
      <c r="W12" s="867"/>
      <c r="X12" s="867"/>
      <c r="Y12" s="867"/>
    </row>
    <row r="13" spans="1:30" ht="18" customHeight="1">
      <c r="A13" s="815">
        <v>7</v>
      </c>
      <c r="B13" s="819" t="s">
        <v>1858</v>
      </c>
      <c r="C13" s="819" t="s">
        <v>2197</v>
      </c>
      <c r="D13" s="819" t="s">
        <v>2196</v>
      </c>
      <c r="E13" s="846" t="str">
        <f ca="1"/>
        <v>Substrates for the biogas plant</v>
      </c>
      <c r="G13" s="973" t="str">
        <f ca="1">E13</f>
        <v>Substrates for the biogas plant</v>
      </c>
      <c r="H13" s="973"/>
      <c r="I13" s="973"/>
      <c r="J13" s="825" t="s">
        <v>2041</v>
      </c>
      <c r="K13" s="825" t="s">
        <v>1973</v>
      </c>
      <c r="L13" s="825" t="s">
        <v>1972</v>
      </c>
      <c r="M13" s="819" t="str">
        <f ca="1"/>
        <v>All entries for the substrate input are made in the "Substrates" sheet</v>
      </c>
      <c r="N13" s="1053" t="str">
        <f ca="1">M13</f>
        <v>All entries for the substrate input are made in the "Substrates" sheet</v>
      </c>
      <c r="O13" s="824" t="s">
        <v>352</v>
      </c>
      <c r="V13" s="867"/>
      <c r="W13" s="867"/>
      <c r="X13" s="867"/>
      <c r="Y13" s="867"/>
    </row>
    <row r="14" spans="1:30" ht="18" customHeight="1">
      <c r="B14" s="834" t="s">
        <v>352</v>
      </c>
      <c r="C14" s="834" t="s">
        <v>352</v>
      </c>
      <c r="D14" s="834" t="s">
        <v>352</v>
      </c>
      <c r="E14" s="846" t="str">
        <f ca="1"/>
        <v/>
      </c>
      <c r="G14" s="974"/>
      <c r="H14" s="847"/>
      <c r="I14" s="836"/>
      <c r="J14" s="825"/>
      <c r="K14" s="825"/>
      <c r="L14" s="825"/>
      <c r="M14" s="819">
        <f ca="1"/>
        <v>0</v>
      </c>
      <c r="N14" s="822"/>
      <c r="O14" s="824" t="s">
        <v>352</v>
      </c>
      <c r="V14" s="867"/>
      <c r="W14" s="867"/>
      <c r="X14" s="867"/>
      <c r="Y14" s="867"/>
    </row>
    <row r="15" spans="1:30" ht="18" customHeight="1">
      <c r="A15" s="815">
        <v>87</v>
      </c>
      <c r="B15" s="834" t="s">
        <v>352</v>
      </c>
      <c r="C15" s="834" t="s">
        <v>352</v>
      </c>
      <c r="D15" s="834" t="s">
        <v>352</v>
      </c>
      <c r="E15" s="846" t="str">
        <f ca="1"/>
        <v/>
      </c>
      <c r="G15" s="1057" t="str">
        <f>INDEX(menuesBG!$1:$1048576,$A15,sprache)</f>
        <v>Agriculture, conversion from livestock</v>
      </c>
      <c r="H15" s="848">
        <f>SUM(Substrates!F8:F22)</f>
        <v>0</v>
      </c>
      <c r="J15" s="825"/>
      <c r="K15" s="825"/>
      <c r="L15" s="825"/>
      <c r="M15" s="819">
        <f ca="1"/>
        <v>0</v>
      </c>
      <c r="N15" s="822"/>
      <c r="O15" s="824" t="s">
        <v>352</v>
      </c>
      <c r="R15" s="815">
        <v>1000</v>
      </c>
      <c r="V15" s="867"/>
      <c r="W15" s="867"/>
      <c r="X15" s="867"/>
      <c r="Y15" s="867"/>
      <c r="Z15" s="975" t="e">
        <f>"reference value, manure/kg/"&amp;StandortCode&amp;" U"</f>
        <v>#N/A</v>
      </c>
      <c r="AA15" s="867" t="e" cm="1">
        <f t="array" ref="AA15">INDEX(SimaPro!$1:$1048576,AA$3,MATCH(MainInput!$Z15,SimaPro!$1:$1,0))*$R15*$H15</f>
        <v>#N/A</v>
      </c>
      <c r="AB15" s="867" t="e" cm="1">
        <f t="array" ref="AB15">INDEX(SimaPro!$1:$1048576,AB$3,MATCH(MainInput!$Z15,SimaPro!$1:$1,0))*$R15*$H15</f>
        <v>#N/A</v>
      </c>
      <c r="AC15" s="867" t="e" cm="1">
        <f t="array" ref="AC15">INDEX(SimaPro!$1:$1048576,AC$3,MATCH(MainInput!$Z15,SimaPro!$1:$1,0))*$R15*$H15</f>
        <v>#N/A</v>
      </c>
      <c r="AD15" s="867" t="e" cm="1">
        <f t="array" ref="AD15">INDEX(SimaPro!$1:$1048576,AD$3,MATCH(MainInput!$Z15,SimaPro!$1:$1,0))*$R15*$H15</f>
        <v>#N/A</v>
      </c>
    </row>
    <row r="16" spans="1:30" ht="18" customHeight="1">
      <c r="A16" s="815">
        <v>8</v>
      </c>
      <c r="B16" s="834" t="s">
        <v>352</v>
      </c>
      <c r="C16" s="834" t="s">
        <v>352</v>
      </c>
      <c r="D16" s="834" t="s">
        <v>352</v>
      </c>
      <c r="E16" s="846" t="str">
        <f ca="1"/>
        <v/>
      </c>
      <c r="G16" s="1057" t="str">
        <f>Substrates!E24</f>
        <v>Residual and waste materials</v>
      </c>
      <c r="H16" s="848">
        <f>SUM(Substrates!F25:F90)</f>
        <v>0</v>
      </c>
      <c r="J16" s="825"/>
      <c r="K16" s="825"/>
      <c r="L16" s="825"/>
      <c r="M16" s="819">
        <f ca="1"/>
        <v>0</v>
      </c>
      <c r="N16" s="822"/>
      <c r="O16" s="824" t="s">
        <v>352</v>
      </c>
      <c r="P16" s="849" t="s">
        <v>1876</v>
      </c>
      <c r="Q16" s="850"/>
      <c r="R16" s="976" t="e">
        <f>EinnahmeSubstratEntsorgung/Wechselkurs</f>
        <v>#N/A</v>
      </c>
      <c r="S16" s="976"/>
      <c r="T16" s="976"/>
      <c r="U16" s="816" t="s">
        <v>2155</v>
      </c>
      <c r="V16" s="867"/>
      <c r="W16" s="867"/>
      <c r="X16" s="867"/>
      <c r="Y16" s="867"/>
      <c r="Z16" s="975" t="s">
        <v>64</v>
      </c>
      <c r="AA16" s="915" t="e" cm="1">
        <f t="array" ref="AA16">INDEX(SimaPro!$1:$1048576,AA$3,MATCH(MainInput!$Z16,SimaPro!$1:$1,0))*$R16</f>
        <v>#N/A</v>
      </c>
      <c r="AB16" s="915" t="e" cm="1">
        <f t="array" ref="AB16">INDEX(SimaPro!$1:$1048576,AB$3,MATCH(MainInput!$Z16,SimaPro!$1:$1,0))*$R16</f>
        <v>#N/A</v>
      </c>
      <c r="AC16" s="915" t="e" cm="1">
        <f t="array" ref="AC16">INDEX(SimaPro!$1:$1048576,AC$3,MATCH(MainInput!$Z16,SimaPro!$1:$1,0))*$R16</f>
        <v>#N/A</v>
      </c>
      <c r="AD16" s="915" t="e" cm="1">
        <f t="array" ref="AD16">INDEX(SimaPro!$1:$1048576,AD$3,MATCH(MainInput!$Z16,SimaPro!$1:$1,0))*$R16</f>
        <v>#N/A</v>
      </c>
    </row>
    <row r="17" spans="1:30" ht="18" customHeight="1">
      <c r="B17" s="834" t="s">
        <v>352</v>
      </c>
      <c r="C17" s="834" t="s">
        <v>352</v>
      </c>
      <c r="D17" s="834" t="s">
        <v>352</v>
      </c>
      <c r="E17" s="846" t="str">
        <f ca="1"/>
        <v/>
      </c>
      <c r="G17" s="1057" t="str">
        <f>Substrates!E92</f>
        <v>Intercrops not competing with food and feed</v>
      </c>
      <c r="H17" s="848">
        <f>SUM(Substrates!F93:F97)</f>
        <v>0</v>
      </c>
      <c r="J17" s="825"/>
      <c r="K17" s="825"/>
      <c r="L17" s="825"/>
      <c r="M17" s="819">
        <f ca="1"/>
        <v>0</v>
      </c>
      <c r="N17" s="822"/>
      <c r="O17" s="824" t="s">
        <v>352</v>
      </c>
      <c r="P17" s="850"/>
      <c r="Q17" s="850"/>
      <c r="R17" s="850"/>
      <c r="S17" s="850"/>
      <c r="T17" s="850"/>
      <c r="V17" s="867"/>
      <c r="W17" s="867"/>
      <c r="X17" s="867"/>
      <c r="Y17" s="867"/>
    </row>
    <row r="18" spans="1:30" ht="18" customHeight="1">
      <c r="B18" s="834" t="s">
        <v>352</v>
      </c>
      <c r="C18" s="834" t="s">
        <v>352</v>
      </c>
      <c r="D18" s="834" t="s">
        <v>352</v>
      </c>
      <c r="E18" s="846" t="str">
        <f ca="1"/>
        <v/>
      </c>
      <c r="G18" s="1057" t="str">
        <f>Substrates!E99</f>
        <v>Glycerine</v>
      </c>
      <c r="H18" s="848">
        <f>SUM(Substrates!F100:F104)</f>
        <v>0</v>
      </c>
      <c r="J18" s="825"/>
      <c r="K18" s="825"/>
      <c r="L18" s="825"/>
      <c r="M18" s="819">
        <f ca="1"/>
        <v>0</v>
      </c>
      <c r="N18" s="822"/>
      <c r="O18" s="824" t="s">
        <v>352</v>
      </c>
      <c r="P18" s="850"/>
      <c r="Q18" s="850"/>
      <c r="R18" s="850"/>
      <c r="S18" s="850"/>
      <c r="T18" s="850"/>
      <c r="V18" s="867"/>
      <c r="W18" s="867"/>
      <c r="X18" s="867"/>
      <c r="Y18" s="867"/>
    </row>
    <row r="19" spans="1:30" ht="18" customHeight="1">
      <c r="B19" s="834" t="s">
        <v>352</v>
      </c>
      <c r="C19" s="834" t="s">
        <v>352</v>
      </c>
      <c r="D19" s="834" t="s">
        <v>352</v>
      </c>
      <c r="E19" s="846" t="str">
        <f ca="1"/>
        <v/>
      </c>
      <c r="G19" s="1057" t="str">
        <f>Substrates!E106</f>
        <v>Energy crop silage</v>
      </c>
      <c r="H19" s="848">
        <f>SUM(Substrates!F107:F108)</f>
        <v>0</v>
      </c>
      <c r="I19" s="949" t="str">
        <f>IF(O19,"",-1)</f>
        <v/>
      </c>
      <c r="J19" s="825" t="s">
        <v>2042</v>
      </c>
      <c r="K19" s="825" t="s">
        <v>2044</v>
      </c>
      <c r="L19" s="825" t="s">
        <v>2043</v>
      </c>
      <c r="M19" s="819" t="str">
        <f ca="1"/>
        <v>Utilisation of energy crops not permitted</v>
      </c>
      <c r="N19" s="822" t="str">
        <f>IFERROR(IF(O19,"",M19),$M$8)</f>
        <v/>
      </c>
      <c r="O19" s="824" t="b">
        <f>IF(H19=0,TRUE,FALSE)</f>
        <v>1</v>
      </c>
      <c r="V19" s="867"/>
      <c r="W19" s="867"/>
      <c r="X19" s="867"/>
      <c r="Y19" s="867"/>
    </row>
    <row r="20" spans="1:30" ht="18" customHeight="1">
      <c r="A20" s="815">
        <v>5</v>
      </c>
      <c r="B20" s="834" t="s">
        <v>352</v>
      </c>
      <c r="C20" s="834" t="s">
        <v>352</v>
      </c>
      <c r="D20" s="834" t="s">
        <v>352</v>
      </c>
      <c r="E20" s="846" t="str">
        <f ca="1"/>
        <v/>
      </c>
      <c r="G20" s="1057" t="str">
        <f>Substrates!E110</f>
        <v>Sewage sludge and similar substrates</v>
      </c>
      <c r="H20" s="848">
        <f>SUM(Substrates!F111:F115)</f>
        <v>0</v>
      </c>
      <c r="J20" s="825"/>
      <c r="K20" s="825"/>
      <c r="L20" s="825"/>
      <c r="M20" s="819">
        <f ca="1"/>
        <v>0</v>
      </c>
      <c r="N20" s="822"/>
      <c r="O20" s="824" t="s">
        <v>352</v>
      </c>
      <c r="P20" s="849" t="s">
        <v>1876</v>
      </c>
      <c r="V20" s="867"/>
      <c r="W20" s="867"/>
      <c r="X20" s="867"/>
      <c r="Y20" s="867"/>
    </row>
    <row r="21" spans="1:30" ht="18" customHeight="1">
      <c r="B21" s="834" t="s">
        <v>352</v>
      </c>
      <c r="C21" s="834" t="s">
        <v>352</v>
      </c>
      <c r="D21" s="834" t="s">
        <v>352</v>
      </c>
      <c r="E21" s="846" t="str">
        <f ca="1"/>
        <v/>
      </c>
      <c r="G21" s="1057" t="str">
        <f>Substrates!E117</f>
        <v>Chemicals</v>
      </c>
      <c r="H21" s="848">
        <f>SUM(Substrates!F118:F121)</f>
        <v>0</v>
      </c>
      <c r="J21" s="825"/>
      <c r="K21" s="825"/>
      <c r="L21" s="825"/>
      <c r="M21" s="819">
        <f ca="1"/>
        <v>0</v>
      </c>
      <c r="N21" s="822"/>
      <c r="O21" s="824" t="s">
        <v>352</v>
      </c>
      <c r="P21" s="850"/>
      <c r="Q21" s="850"/>
      <c r="R21" s="850"/>
      <c r="S21" s="850"/>
      <c r="T21" s="850"/>
      <c r="V21" s="867"/>
      <c r="W21" s="867"/>
      <c r="X21" s="867"/>
      <c r="Y21" s="867"/>
    </row>
    <row r="22" spans="1:30" ht="18" customHeight="1">
      <c r="B22" s="834" t="s">
        <v>352</v>
      </c>
      <c r="C22" s="834" t="s">
        <v>352</v>
      </c>
      <c r="D22" s="834" t="s">
        <v>352</v>
      </c>
      <c r="E22" s="846" t="str">
        <f ca="1"/>
        <v/>
      </c>
      <c r="G22" s="1054" t="str">
        <f>Substrates!E123</f>
        <v>Industrial wastewater and substrates</v>
      </c>
      <c r="H22" s="913">
        <f>SUM(Substrates!F124:F124)</f>
        <v>0</v>
      </c>
      <c r="J22" s="825"/>
      <c r="K22" s="825"/>
      <c r="L22" s="825"/>
      <c r="M22" s="819">
        <f ca="1"/>
        <v>0</v>
      </c>
      <c r="N22" s="822"/>
      <c r="O22" s="824" t="s">
        <v>352</v>
      </c>
      <c r="P22" s="850"/>
      <c r="Q22" s="850"/>
      <c r="R22" s="815">
        <v>1</v>
      </c>
      <c r="V22" s="867"/>
      <c r="W22" s="867"/>
      <c r="X22" s="867"/>
      <c r="Y22" s="867"/>
      <c r="Z22" s="975" t="s">
        <v>1660</v>
      </c>
      <c r="AA22" s="867" cm="1">
        <f t="array" ref="AA22">INDEX(SimaPro!$1:$1048576,AA$3,MATCH(MainInput!$Z22,SimaPro!$1:$1,0))*$R22*$H22</f>
        <v>0</v>
      </c>
      <c r="AB22" s="867" cm="1">
        <f t="array" ref="AB22">INDEX(SimaPro!$1:$1048576,AB$3,MATCH(MainInput!$Z22,SimaPro!$1:$1,0))*$R22*$H22</f>
        <v>0</v>
      </c>
      <c r="AC22" s="867" cm="1">
        <f t="array" ref="AC22">INDEX(SimaPro!$1:$1048576,AC$3,MATCH(MainInput!$Z22,SimaPro!$1:$1,0))*$R22*$H22</f>
        <v>0</v>
      </c>
      <c r="AD22" s="867" cm="1">
        <f t="array" ref="AD22">INDEX(SimaPro!$1:$1048576,AD$3,MATCH(MainInput!$Z22,SimaPro!$1:$1,0))*$R22*$H22</f>
        <v>0</v>
      </c>
    </row>
    <row r="23" spans="1:30" ht="18" customHeight="1">
      <c r="A23" s="815">
        <v>61</v>
      </c>
      <c r="B23" s="846" t="s">
        <v>357</v>
      </c>
      <c r="C23" s="846" t="s">
        <v>404</v>
      </c>
      <c r="D23" s="846" t="s">
        <v>1272</v>
      </c>
      <c r="E23" s="846" t="str">
        <f ca="1"/>
        <v>Water consumption</v>
      </c>
      <c r="G23" s="819" t="str">
        <f ca="1">E23</f>
        <v>Water consumption</v>
      </c>
      <c r="H23" s="809"/>
      <c r="I23" s="978">
        <f>IF(O23,1,0)</f>
        <v>0</v>
      </c>
      <c r="J23" s="825" t="s">
        <v>2329</v>
      </c>
      <c r="K23" s="825" t="s">
        <v>2328</v>
      </c>
      <c r="L23" s="825" t="s">
        <v>2327</v>
      </c>
      <c r="M23" s="819" t="str">
        <f ca="1"/>
        <v>Please specify water consumption in m3</v>
      </c>
      <c r="N23" s="822" t="str">
        <f ca="1">IFERROR(IF(O23,"",M23),$M$8)</f>
        <v>Please specify water consumption in m3</v>
      </c>
      <c r="O23" s="824" t="b">
        <f>IF(H23="",FALSE,TRUE)</f>
        <v>0</v>
      </c>
      <c r="R23" s="815">
        <v>1</v>
      </c>
      <c r="U23" s="815" t="s">
        <v>1961</v>
      </c>
      <c r="V23" s="867" cm="1">
        <f t="array" ref="V23">INDEX(SimaPro!$1:$1048576,V$3,MATCH(MainInput!$U23,SimaPro!$1:$1,0))*$R23*$H23</f>
        <v>0</v>
      </c>
      <c r="W23" s="867" cm="1">
        <f t="array" ref="W23">INDEX(SimaPro!$1:$1048576,W$3,MATCH(MainInput!$U23,SimaPro!$1:$1,0))*$R23*$H23</f>
        <v>0</v>
      </c>
      <c r="X23" s="867" cm="1">
        <f t="array" ref="X23">INDEX(SimaPro!$1:$1048576,X$3,MATCH(MainInput!$U23,SimaPro!$1:$1,0))*$R23*$H23</f>
        <v>0</v>
      </c>
      <c r="Y23" s="867" cm="1">
        <f t="array" ref="Y23">INDEX(SimaPro!$1:$1048576,Y$3,MATCH(MainInput!$U23,SimaPro!$1:$1,0))*$R23*$H23</f>
        <v>0</v>
      </c>
    </row>
    <row r="24" spans="1:30" ht="18" customHeight="1">
      <c r="A24" s="815">
        <v>21</v>
      </c>
      <c r="B24" s="846" t="s">
        <v>277</v>
      </c>
      <c r="C24" s="846" t="s">
        <v>783</v>
      </c>
      <c r="D24" s="846" t="s">
        <v>1255</v>
      </c>
      <c r="E24" s="846" t="str">
        <f ca="1"/>
        <v>Total input quantity for the plant</v>
      </c>
      <c r="G24" s="977" t="str">
        <f ca="1">E24</f>
        <v>Total input quantity for the plant</v>
      </c>
      <c r="H24" s="844">
        <f>SUM(H15:H23)</f>
        <v>0</v>
      </c>
      <c r="I24" s="978">
        <f>IF(O24,1,-1)</f>
        <v>-1</v>
      </c>
      <c r="J24" s="825" t="s">
        <v>2349</v>
      </c>
      <c r="K24" s="825" t="s">
        <v>2350</v>
      </c>
      <c r="L24" s="825" t="s">
        <v>2351</v>
      </c>
      <c r="M24" s="819" t="str">
        <f ca="1"/>
        <v>Please enter substrates on sheet "Substrates"</v>
      </c>
      <c r="N24" s="822" t="str">
        <f ca="1">IFERROR(IF(O24,"",M24),$M$8)</f>
        <v>Please enter substrates on sheet "Substrates"</v>
      </c>
      <c r="O24" s="815" t="b">
        <f>H24&gt;0</f>
        <v>0</v>
      </c>
      <c r="Q24" s="816"/>
      <c r="V24" s="867"/>
      <c r="W24" s="867"/>
      <c r="X24" s="867"/>
      <c r="Y24" s="867"/>
    </row>
    <row r="25" spans="1:30" ht="18" customHeight="1">
      <c r="B25" s="834" t="s">
        <v>352</v>
      </c>
      <c r="C25" s="834" t="s">
        <v>352</v>
      </c>
      <c r="D25" s="834" t="s">
        <v>352</v>
      </c>
      <c r="E25" s="846" t="str">
        <f ca="1"/>
        <v/>
      </c>
      <c r="G25" s="819"/>
      <c r="H25" s="850"/>
      <c r="I25" s="846"/>
      <c r="J25" s="825"/>
      <c r="K25" s="825"/>
      <c r="L25" s="825"/>
      <c r="M25" s="819">
        <f ca="1"/>
        <v>0</v>
      </c>
      <c r="N25" s="822"/>
      <c r="O25" s="824" t="s">
        <v>352</v>
      </c>
      <c r="V25" s="867"/>
      <c r="W25" s="867"/>
      <c r="X25" s="867"/>
      <c r="Y25" s="867"/>
    </row>
    <row r="26" spans="1:30" ht="18" customHeight="1">
      <c r="A26" s="815">
        <v>93</v>
      </c>
      <c r="B26" s="819" t="s">
        <v>2050</v>
      </c>
      <c r="C26" s="819" t="s">
        <v>2051</v>
      </c>
      <c r="D26" s="819" t="s">
        <v>2052</v>
      </c>
      <c r="E26" s="846" t="str">
        <f ca="1"/>
        <v>External energy consumption of the biogas plant (without internal consumption)</v>
      </c>
      <c r="G26" s="973" t="str">
        <f ca="1">E26</f>
        <v>External energy consumption of the biogas plant (without internal consumption)</v>
      </c>
      <c r="H26" s="973"/>
      <c r="I26" s="973"/>
      <c r="J26" s="825" t="s">
        <v>1859</v>
      </c>
      <c r="K26" s="825" t="s">
        <v>1860</v>
      </c>
      <c r="L26" s="825" t="s">
        <v>1861</v>
      </c>
      <c r="M26" s="819" t="str">
        <f ca="1"/>
        <v>observe system limits</v>
      </c>
      <c r="N26" s="979" t="str">
        <f ca="1">M26</f>
        <v>observe system limits</v>
      </c>
      <c r="O26" s="824" t="s">
        <v>352</v>
      </c>
      <c r="Q26" s="816" t="s">
        <v>1882</v>
      </c>
      <c r="R26" s="816"/>
      <c r="S26" s="816"/>
      <c r="T26" s="816"/>
      <c r="V26" s="928"/>
      <c r="W26" s="928"/>
      <c r="X26" s="928"/>
      <c r="Y26" s="928"/>
    </row>
    <row r="27" spans="1:30" ht="18" customHeight="1">
      <c r="B27" s="834" t="s">
        <v>352</v>
      </c>
      <c r="C27" s="834" t="s">
        <v>352</v>
      </c>
      <c r="D27" s="834" t="s">
        <v>352</v>
      </c>
      <c r="E27" s="846" t="str">
        <f ca="1"/>
        <v/>
      </c>
      <c r="G27" s="974"/>
      <c r="H27" s="843"/>
      <c r="I27" s="974"/>
      <c r="J27" s="825"/>
      <c r="K27" s="825"/>
      <c r="L27" s="825"/>
      <c r="M27" s="819">
        <f ca="1"/>
        <v>0</v>
      </c>
      <c r="N27" s="974"/>
      <c r="O27" s="824" t="s">
        <v>352</v>
      </c>
      <c r="Q27" s="842"/>
      <c r="R27" s="842"/>
      <c r="S27" s="842" t="s">
        <v>2150</v>
      </c>
      <c r="T27" s="842" t="s">
        <v>2151</v>
      </c>
      <c r="V27" s="867"/>
      <c r="W27" s="867"/>
      <c r="X27" s="867"/>
      <c r="Y27" s="867"/>
    </row>
    <row r="28" spans="1:30" ht="18" customHeight="1">
      <c r="B28" s="846" t="s">
        <v>1862</v>
      </c>
      <c r="C28" s="846" t="s">
        <v>870</v>
      </c>
      <c r="D28" s="846" t="s">
        <v>1197</v>
      </c>
      <c r="E28" s="846" t="str">
        <f ca="1"/>
        <v>Power supply from the grid</v>
      </c>
      <c r="G28" s="980" t="str">
        <f ca="1">E28</f>
        <v>Power supply from the grid</v>
      </c>
      <c r="H28" s="981">
        <f>SUM(H29:H31)</f>
        <v>0</v>
      </c>
      <c r="I28" s="982"/>
      <c r="J28" s="825"/>
      <c r="K28" s="825"/>
      <c r="L28" s="825"/>
      <c r="M28" s="819">
        <f ca="1"/>
        <v>0</v>
      </c>
      <c r="N28" s="822"/>
      <c r="O28" s="824" t="s">
        <v>352</v>
      </c>
      <c r="Q28" s="842"/>
      <c r="R28" s="842"/>
      <c r="S28" s="842" t="s">
        <v>2148</v>
      </c>
      <c r="T28" s="842" t="s">
        <v>2149</v>
      </c>
      <c r="V28" s="867"/>
      <c r="W28" s="867"/>
      <c r="X28" s="867"/>
      <c r="Y28" s="867"/>
    </row>
    <row r="29" spans="1:30" ht="18" customHeight="1">
      <c r="A29" s="815">
        <v>9</v>
      </c>
      <c r="B29" s="819" t="s">
        <v>1863</v>
      </c>
      <c r="C29" s="846" t="s">
        <v>2006</v>
      </c>
      <c r="D29" s="846" t="s">
        <v>2004</v>
      </c>
      <c r="E29" s="846" t="str">
        <f ca="1"/>
        <v>not certified</v>
      </c>
      <c r="G29" s="983" t="str">
        <f ca="1">E29</f>
        <v>not certified</v>
      </c>
      <c r="H29" s="810"/>
      <c r="I29" s="836"/>
      <c r="J29" s="825" t="s">
        <v>352</v>
      </c>
      <c r="K29" s="825" t="s">
        <v>352</v>
      </c>
      <c r="L29" s="825" t="s">
        <v>352</v>
      </c>
      <c r="M29" s="819" t="str">
        <f ca="1"/>
        <v/>
      </c>
      <c r="N29" s="822"/>
      <c r="O29" s="824" t="s">
        <v>352</v>
      </c>
      <c r="Q29" s="984">
        <f>H29</f>
        <v>0</v>
      </c>
      <c r="R29" s="985">
        <v>1</v>
      </c>
      <c r="S29" s="985"/>
      <c r="T29" s="985"/>
      <c r="U29" s="815" t="e">
        <f>"Electricity, medium voltage {"&amp;StandortCode&amp;"}| market for | Cut-off, S"</f>
        <v>#N/A</v>
      </c>
      <c r="V29" s="867" t="e" cm="1">
        <f t="array" ref="V29">INDEX(SimaPro!$1:$1048576,V$3,MATCH(MainInput!$U29,SimaPro!$1:$1,0))*$R29*$H29</f>
        <v>#N/A</v>
      </c>
      <c r="W29" s="867" t="e" cm="1">
        <f t="array" ref="W29">INDEX(SimaPro!$1:$1048576,W$3,MATCH(MainInput!$U29,SimaPro!$1:$1,0))*$R29*$H29</f>
        <v>#N/A</v>
      </c>
      <c r="X29" s="867" t="e" cm="1">
        <f t="array" ref="X29">INDEX(SimaPro!$1:$1048576,X$3,MATCH(MainInput!$U29,SimaPro!$1:$1,0))*$R29*$H29</f>
        <v>#N/A</v>
      </c>
      <c r="Y29" s="867" t="e" cm="1">
        <f t="array" ref="Y29">INDEX(SimaPro!$1:$1048576,Y$3,MATCH(MainInput!$U29,SimaPro!$1:$1,0))*$R29*$H29</f>
        <v>#N/A</v>
      </c>
    </row>
    <row r="30" spans="1:30" ht="18" customHeight="1">
      <c r="B30" s="819" t="s">
        <v>2053</v>
      </c>
      <c r="C30" s="819" t="s">
        <v>2056</v>
      </c>
      <c r="D30" s="819" t="s">
        <v>2057</v>
      </c>
      <c r="E30" s="846" t="str">
        <f ca="1"/>
        <v>renewable, naturemade star</v>
      </c>
      <c r="G30" s="819" t="str">
        <f ca="1">E30</f>
        <v>renewable, naturemade star</v>
      </c>
      <c r="H30" s="810"/>
      <c r="I30" s="836"/>
      <c r="J30" s="825" t="str">
        <f>J$41</f>
        <v>Nachweis mit Zertifikat/HKN</v>
      </c>
      <c r="K30" s="825" t="s">
        <v>2045</v>
      </c>
      <c r="L30" s="825" t="s">
        <v>2046</v>
      </c>
      <c r="M30" s="819" t="str">
        <f ca="1"/>
        <v>Proof with certificate / guarantee of origin</v>
      </c>
      <c r="N30" s="822" t="str">
        <f>IF(H30&gt;0,M30,"")</f>
        <v/>
      </c>
      <c r="O30" s="824" t="s">
        <v>352</v>
      </c>
      <c r="Q30" s="984">
        <f>H30</f>
        <v>0</v>
      </c>
      <c r="R30" s="985">
        <v>1</v>
      </c>
      <c r="S30" s="985"/>
      <c r="T30" s="985"/>
      <c r="U30" s="815" t="s">
        <v>1951</v>
      </c>
      <c r="V30" s="867" cm="1">
        <f t="array" ref="V30">INDEX(SimaPro!$1:$1048576,V$3,MATCH(MainInput!$U30,SimaPro!$1:$1,0))*$R30*$H30</f>
        <v>0</v>
      </c>
      <c r="W30" s="867" cm="1">
        <f t="array" ref="W30">INDEX(SimaPro!$1:$1048576,W$3,MATCH(MainInput!$U30,SimaPro!$1:$1,0))*$R30*$H30</f>
        <v>0</v>
      </c>
      <c r="X30" s="867" cm="1">
        <f t="array" ref="X30">INDEX(SimaPro!$1:$1048576,X$3,MATCH(MainInput!$U30,SimaPro!$1:$1,0))*$R30*$H30</f>
        <v>0</v>
      </c>
      <c r="Y30" s="867" cm="1">
        <f t="array" ref="Y30">INDEX(SimaPro!$1:$1048576,Y$3,MATCH(MainInput!$U30,SimaPro!$1:$1,0))*$R30*$H30</f>
        <v>0</v>
      </c>
    </row>
    <row r="31" spans="1:30" ht="18" customHeight="1">
      <c r="B31" s="819" t="s">
        <v>2054</v>
      </c>
      <c r="C31" s="846" t="s">
        <v>2007</v>
      </c>
      <c r="D31" s="846" t="s">
        <v>2005</v>
      </c>
      <c r="E31" s="846" t="str">
        <f ca="1"/>
        <v>renewable, other certificates</v>
      </c>
      <c r="G31" s="819" t="str">
        <f ca="1">E31</f>
        <v>renewable, other certificates</v>
      </c>
      <c r="H31" s="810"/>
      <c r="I31" s="836"/>
      <c r="J31" s="825" t="str">
        <f>J$41</f>
        <v>Nachweis mit Zertifikat/HKN</v>
      </c>
      <c r="K31" s="825" t="s">
        <v>2045</v>
      </c>
      <c r="L31" s="825" t="s">
        <v>2046</v>
      </c>
      <c r="M31" s="819" t="str">
        <f ca="1"/>
        <v>Proof with certificate / guarantee of origin</v>
      </c>
      <c r="N31" s="822" t="str">
        <f>IF(H31&gt;0,M31,"")</f>
        <v/>
      </c>
      <c r="O31" s="824" t="s">
        <v>352</v>
      </c>
      <c r="Q31" s="984">
        <f>H31</f>
        <v>0</v>
      </c>
      <c r="R31" s="985">
        <v>1</v>
      </c>
      <c r="S31" s="985"/>
      <c r="T31" s="985"/>
      <c r="U31" s="816" t="s">
        <v>2061</v>
      </c>
      <c r="V31" s="867" cm="1">
        <f t="array" ref="V31">INDEX(SimaPro!$1:$1048576,V$3,MATCH(MainInput!$U31,SimaPro!$1:$1,0))*$R31*$H31</f>
        <v>0</v>
      </c>
      <c r="W31" s="867" cm="1">
        <f t="array" ref="W31">INDEX(SimaPro!$1:$1048576,W$3,MATCH(MainInput!$U31,SimaPro!$1:$1,0))*$R31*$H31</f>
        <v>0</v>
      </c>
      <c r="X31" s="867" cm="1">
        <f t="array" ref="X31">INDEX(SimaPro!$1:$1048576,X$3,MATCH(MainInput!$U31,SimaPro!$1:$1,0))*$R31*$H31</f>
        <v>0</v>
      </c>
      <c r="Y31" s="867" cm="1">
        <f t="array" ref="Y31">INDEX(SimaPro!$1:$1048576,Y$3,MATCH(MainInput!$U31,SimaPro!$1:$1,0))*$R31*$H31</f>
        <v>0</v>
      </c>
    </row>
    <row r="32" spans="1:30" ht="18" customHeight="1">
      <c r="B32" s="834" t="s">
        <v>352</v>
      </c>
      <c r="C32" s="834" t="s">
        <v>352</v>
      </c>
      <c r="D32" s="834" t="s">
        <v>352</v>
      </c>
      <c r="E32" s="846" t="str">
        <f ca="1"/>
        <v/>
      </c>
      <c r="G32" s="819"/>
      <c r="H32" s="986"/>
      <c r="I32" s="836"/>
      <c r="J32" s="825"/>
      <c r="K32" s="825"/>
      <c r="L32" s="825"/>
      <c r="M32" s="819">
        <f ca="1"/>
        <v>0</v>
      </c>
      <c r="N32" s="822"/>
      <c r="O32" s="824" t="s">
        <v>352</v>
      </c>
      <c r="Q32" s="984"/>
      <c r="R32" s="985"/>
      <c r="S32" s="985"/>
      <c r="T32" s="985"/>
      <c r="V32" s="867"/>
      <c r="W32" s="867"/>
      <c r="X32" s="867"/>
      <c r="Y32" s="867"/>
    </row>
    <row r="33" spans="1:25" ht="18" customHeight="1">
      <c r="B33" s="819" t="s">
        <v>2233</v>
      </c>
      <c r="C33" s="819" t="s">
        <v>2234</v>
      </c>
      <c r="D33" s="819" t="s">
        <v>2235</v>
      </c>
      <c r="E33" s="846" t="str">
        <f ca="1"/>
        <v>Fuels (lower heating value)</v>
      </c>
      <c r="G33" s="980" t="str">
        <f ca="1">E33</f>
        <v>Fuels (lower heating value)</v>
      </c>
      <c r="H33" s="981">
        <f>SUM(H34:H35)</f>
        <v>0</v>
      </c>
      <c r="I33" s="982"/>
      <c r="J33" s="825"/>
      <c r="K33" s="825"/>
      <c r="L33" s="825"/>
      <c r="M33" s="819">
        <f ca="1"/>
        <v>0</v>
      </c>
      <c r="N33" s="822"/>
      <c r="O33" s="824" t="s">
        <v>352</v>
      </c>
      <c r="Q33" s="984"/>
      <c r="R33" s="985"/>
      <c r="S33" s="985"/>
      <c r="T33" s="985"/>
      <c r="V33" s="867"/>
      <c r="W33" s="867"/>
      <c r="X33" s="867"/>
      <c r="Y33" s="867"/>
    </row>
    <row r="34" spans="1:25" ht="18" customHeight="1">
      <c r="A34" s="815">
        <v>123</v>
      </c>
      <c r="B34" s="819" t="s">
        <v>2240</v>
      </c>
      <c r="C34" s="819" t="s">
        <v>2238</v>
      </c>
      <c r="D34" s="819" t="s">
        <v>2236</v>
      </c>
      <c r="E34" s="846" t="str">
        <f ca="1"/>
        <v>Diesel (default 10 kWh/kg)</v>
      </c>
      <c r="G34" s="983" t="str">
        <f ca="1">E34</f>
        <v>Diesel (default 10 kWh/kg)</v>
      </c>
      <c r="H34" s="854"/>
      <c r="I34" s="836"/>
      <c r="J34" s="825"/>
      <c r="K34" s="825"/>
      <c r="L34" s="825"/>
      <c r="M34" s="819">
        <f ca="1"/>
        <v>0</v>
      </c>
      <c r="N34" s="822"/>
      <c r="O34" s="824" t="s">
        <v>352</v>
      </c>
      <c r="Q34" s="987">
        <f>H34</f>
        <v>0</v>
      </c>
      <c r="R34" s="988">
        <v>1</v>
      </c>
      <c r="S34" s="988">
        <v>10.467222222222221</v>
      </c>
      <c r="T34" s="988">
        <v>9.9138888888888879</v>
      </c>
      <c r="U34" s="815" t="s">
        <v>1813</v>
      </c>
      <c r="V34" s="867" cm="1">
        <f t="array" ref="V34">INDEX(SimaPro!$1:$1048576,V$3,MATCH(MainInput!$U34,SimaPro!$1:$1,0))*$R34*$H34</f>
        <v>0</v>
      </c>
      <c r="W34" s="867" cm="1">
        <f t="array" ref="W34">INDEX(SimaPro!$1:$1048576,W$3,MATCH(MainInput!$U34,SimaPro!$1:$1,0))*$R34*$H34</f>
        <v>0</v>
      </c>
      <c r="X34" s="867" cm="1">
        <f t="array" ref="X34">INDEX(SimaPro!$1:$1048576,X$3,MATCH(MainInput!$U34,SimaPro!$1:$1,0))*$R34*$H34</f>
        <v>0</v>
      </c>
      <c r="Y34" s="867" cm="1">
        <f t="array" ref="Y34">INDEX(SimaPro!$1:$1048576,Y$3,MATCH(MainInput!$U34,SimaPro!$1:$1,0))*$R34*$H34</f>
        <v>0</v>
      </c>
    </row>
    <row r="35" spans="1:25" ht="18" customHeight="1">
      <c r="A35" s="815">
        <v>42</v>
      </c>
      <c r="B35" s="819" t="s">
        <v>2241</v>
      </c>
      <c r="C35" s="819" t="s">
        <v>2239</v>
      </c>
      <c r="D35" s="819" t="s">
        <v>2237</v>
      </c>
      <c r="E35" s="846" t="str">
        <f ca="1"/>
        <v>Ignition oil (default 10 kWh/kg)</v>
      </c>
      <c r="G35" s="784" t="str">
        <f ca="1">E35</f>
        <v>Ignition oil (default 10 kWh/kg)</v>
      </c>
      <c r="H35" s="810"/>
      <c r="I35" s="836"/>
      <c r="J35" s="828" t="s">
        <v>352</v>
      </c>
      <c r="K35" s="834" t="s">
        <v>352</v>
      </c>
      <c r="L35" s="834" t="s">
        <v>352</v>
      </c>
      <c r="M35" s="819" t="str">
        <f ca="1"/>
        <v/>
      </c>
      <c r="N35" s="822"/>
      <c r="O35" s="824" t="s">
        <v>352</v>
      </c>
      <c r="Q35" s="987">
        <f>H35</f>
        <v>0</v>
      </c>
      <c r="R35" s="988">
        <f>1</f>
        <v>1</v>
      </c>
      <c r="S35" s="866">
        <f>S34</f>
        <v>10.467222222222221</v>
      </c>
      <c r="T35" s="866">
        <f>T34</f>
        <v>9.9138888888888879</v>
      </c>
      <c r="U35" s="815" t="s">
        <v>293</v>
      </c>
      <c r="V35" s="867" cm="1">
        <f t="array" ref="V35">INDEX(SimaPro!$1:$1048576,V$3,MATCH(MainInput!$U35,SimaPro!$1:$1,0))*$R35*$H35</f>
        <v>0</v>
      </c>
      <c r="W35" s="867" cm="1">
        <f t="array" ref="W35">INDEX(SimaPro!$1:$1048576,W$3,MATCH(MainInput!$U35,SimaPro!$1:$1,0))*$R35*$H35</f>
        <v>0</v>
      </c>
      <c r="X35" s="867" cm="1">
        <f t="array" ref="X35">INDEX(SimaPro!$1:$1048576,X$3,MATCH(MainInput!$U35,SimaPro!$1:$1,0))*$R35*$H35</f>
        <v>0</v>
      </c>
      <c r="Y35" s="867" cm="1">
        <f t="array" ref="Y35">INDEX(SimaPro!$1:$1048576,Y$3,MATCH(MainInput!$U35,SimaPro!$1:$1,0))*$R35*$H35</f>
        <v>0</v>
      </c>
    </row>
    <row r="36" spans="1:25" ht="18" customHeight="1">
      <c r="B36" s="834" t="s">
        <v>352</v>
      </c>
      <c r="C36" s="834" t="s">
        <v>352</v>
      </c>
      <c r="D36" s="834" t="s">
        <v>352</v>
      </c>
      <c r="E36" s="846" t="str">
        <f ca="1"/>
        <v/>
      </c>
      <c r="G36" s="819"/>
      <c r="H36" s="982"/>
      <c r="I36" s="836"/>
      <c r="J36" s="825"/>
      <c r="K36" s="825"/>
      <c r="L36" s="825"/>
      <c r="M36" s="819">
        <f ca="1"/>
        <v>0</v>
      </c>
      <c r="N36" s="822"/>
      <c r="O36" s="824" t="s">
        <v>352</v>
      </c>
      <c r="Q36" s="989"/>
      <c r="R36" s="985"/>
      <c r="S36" s="985"/>
      <c r="T36" s="985"/>
      <c r="V36" s="867"/>
      <c r="W36" s="867"/>
      <c r="X36" s="867"/>
      <c r="Y36" s="867"/>
    </row>
    <row r="37" spans="1:25" ht="18" customHeight="1">
      <c r="B37" s="819" t="s">
        <v>2232</v>
      </c>
      <c r="C37" s="819" t="s">
        <v>2267</v>
      </c>
      <c r="D37" s="819" t="s">
        <v>2266</v>
      </c>
      <c r="E37" s="846" t="str">
        <f ca="1"/>
        <v>Heat (specify fuels with higher heating value)</v>
      </c>
      <c r="G37" s="980" t="str">
        <f t="shared" ref="G37:G53" ca="1" si="1">E37</f>
        <v>Heat (specify fuels with higher heating value)</v>
      </c>
      <c r="H37" s="981">
        <f>SUM(H38:H48)</f>
        <v>0</v>
      </c>
      <c r="I37" s="982"/>
      <c r="J37" s="825"/>
      <c r="K37" s="825"/>
      <c r="L37" s="825"/>
      <c r="M37" s="819">
        <f ca="1"/>
        <v>0</v>
      </c>
      <c r="N37" s="822"/>
      <c r="O37" s="824" t="s">
        <v>352</v>
      </c>
      <c r="Q37" s="989"/>
      <c r="R37" s="985"/>
      <c r="S37" s="985"/>
      <c r="T37" s="985"/>
      <c r="V37" s="867"/>
      <c r="W37" s="867"/>
      <c r="X37" s="867"/>
      <c r="Y37" s="867"/>
    </row>
    <row r="38" spans="1:25" ht="18" customHeight="1">
      <c r="A38" s="815">
        <v>10</v>
      </c>
      <c r="B38" s="819" t="s">
        <v>2242</v>
      </c>
      <c r="C38" s="819" t="s">
        <v>2257</v>
      </c>
      <c r="D38" s="819" t="s">
        <v>2258</v>
      </c>
      <c r="E38" s="846" t="str">
        <f ca="1"/>
        <v>Fuel oil consumption (default 10.5 kWh/litre)</v>
      </c>
      <c r="G38" s="983" t="str">
        <f t="shared" ca="1" si="1"/>
        <v>Fuel oil consumption (default 10.5 kWh/litre)</v>
      </c>
      <c r="H38" s="810"/>
      <c r="I38" s="836"/>
      <c r="J38" s="825" t="s">
        <v>352</v>
      </c>
      <c r="K38" s="825" t="s">
        <v>352</v>
      </c>
      <c r="L38" s="825" t="s">
        <v>352</v>
      </c>
      <c r="M38" s="819" t="str">
        <f ca="1"/>
        <v/>
      </c>
      <c r="N38" s="822"/>
      <c r="O38" s="824" t="s">
        <v>352</v>
      </c>
      <c r="Q38" s="990">
        <f>H38*R38</f>
        <v>0</v>
      </c>
      <c r="R38" s="991">
        <f>T38/S38</f>
        <v>0.94911504424778748</v>
      </c>
      <c r="S38" s="985">
        <v>10.534111111111111</v>
      </c>
      <c r="T38" s="988">
        <v>9.9980833333333319</v>
      </c>
      <c r="U38" s="816" t="s">
        <v>1947</v>
      </c>
      <c r="V38" s="867" cm="1">
        <f t="array" ref="V38">INDEX(SimaPro!$1:$1048576,V$3,MATCH(MainInput!$U38,SimaPro!$1:$1,0))*$R38*$H38</f>
        <v>0</v>
      </c>
      <c r="W38" s="867" cm="1">
        <f t="array" ref="W38">INDEX(SimaPro!$1:$1048576,W$3,MATCH(MainInput!$U38,SimaPro!$1:$1,0))*$R38*$H38</f>
        <v>0</v>
      </c>
      <c r="X38" s="867" cm="1">
        <f t="array" ref="X38">INDEX(SimaPro!$1:$1048576,X$3,MATCH(MainInput!$U38,SimaPro!$1:$1,0))*$R38*$H38</f>
        <v>0</v>
      </c>
      <c r="Y38" s="867" cm="1">
        <f t="array" ref="Y38">INDEX(SimaPro!$1:$1048576,Y$3,MATCH(MainInput!$U38,SimaPro!$1:$1,0))*$R38*$H38</f>
        <v>0</v>
      </c>
    </row>
    <row r="39" spans="1:25" ht="18" customHeight="1">
      <c r="A39" s="815">
        <v>18</v>
      </c>
      <c r="B39" s="943" t="s">
        <v>2243</v>
      </c>
      <c r="C39" s="819" t="s">
        <v>2256</v>
      </c>
      <c r="D39" s="819" t="s">
        <v>2259</v>
      </c>
      <c r="E39" s="846" t="str">
        <f ca="1"/>
        <v>Natural gas consumption (default 11.2 kWh/m3)</v>
      </c>
      <c r="G39" s="784" t="str">
        <f t="shared" ca="1" si="1"/>
        <v>Natural gas consumption (default 11.2 kWh/m3)</v>
      </c>
      <c r="H39" s="810"/>
      <c r="I39" s="836"/>
      <c r="J39" s="825" t="s">
        <v>352</v>
      </c>
      <c r="K39" s="825" t="s">
        <v>352</v>
      </c>
      <c r="L39" s="825" t="s">
        <v>352</v>
      </c>
      <c r="M39" s="819" t="str">
        <f ca="1"/>
        <v/>
      </c>
      <c r="N39" s="822"/>
      <c r="O39" s="824" t="s">
        <v>352</v>
      </c>
      <c r="Q39" s="990">
        <f>H39*R39</f>
        <v>0</v>
      </c>
      <c r="R39" s="991">
        <f>T39/S39</f>
        <v>0.9029850746268655</v>
      </c>
      <c r="S39" s="988">
        <v>11.166666666666668</v>
      </c>
      <c r="T39" s="985">
        <v>10.083333333333332</v>
      </c>
      <c r="U39" s="815" t="s">
        <v>3</v>
      </c>
      <c r="V39" s="867" cm="1">
        <f t="array" ref="V39">INDEX(SimaPro!$1:$1048576,V$3,MATCH(MainInput!$U39,SimaPro!$1:$1,0))*$R39*$H39</f>
        <v>0</v>
      </c>
      <c r="W39" s="867" cm="1">
        <f t="array" ref="W39">INDEX(SimaPro!$1:$1048576,W$3,MATCH(MainInput!$U39,SimaPro!$1:$1,0))*$R39*$H39</f>
        <v>0</v>
      </c>
      <c r="X39" s="867" cm="1">
        <f t="array" ref="X39">INDEX(SimaPro!$1:$1048576,X$3,MATCH(MainInput!$U39,SimaPro!$1:$1,0))*$R39*$H39</f>
        <v>0</v>
      </c>
      <c r="Y39" s="867" cm="1">
        <f t="array" ref="Y39">INDEX(SimaPro!$1:$1048576,Y$3,MATCH(MainInput!$U39,SimaPro!$1:$1,0))*$R39*$H39</f>
        <v>0</v>
      </c>
    </row>
    <row r="40" spans="1:25" ht="18" customHeight="1">
      <c r="B40" s="819" t="s">
        <v>2244</v>
      </c>
      <c r="C40" s="819" t="s">
        <v>2255</v>
      </c>
      <c r="D40" s="819" t="s">
        <v>2260</v>
      </c>
      <c r="E40" s="846" t="str">
        <f ca="1"/>
        <v>Biomethane, naturemade star (default 10.6 kWh/m3)</v>
      </c>
      <c r="G40" s="819" t="str">
        <f t="shared" ca="1" si="1"/>
        <v>Biomethane, naturemade star (default 10.6 kWh/m3)</v>
      </c>
      <c r="H40" s="810"/>
      <c r="I40" s="836"/>
      <c r="J40" s="825" t="str">
        <f t="shared" ref="J40" si="2">J$41</f>
        <v>Nachweis mit Zertifikat/HKN</v>
      </c>
      <c r="K40" s="825" t="s">
        <v>2045</v>
      </c>
      <c r="L40" s="825" t="s">
        <v>2046</v>
      </c>
      <c r="M40" s="819" t="str">
        <f ca="1"/>
        <v>Proof with certificate / guarantee of origin</v>
      </c>
      <c r="N40" s="822" t="str">
        <f>IF(H40&gt;0,M40,"")</f>
        <v/>
      </c>
      <c r="O40" s="824" t="s">
        <v>352</v>
      </c>
      <c r="Q40" s="990">
        <f>H40*R40</f>
        <v>0</v>
      </c>
      <c r="R40" s="991">
        <f>T40/S40</f>
        <v>0.90311422890189186</v>
      </c>
      <c r="S40" s="985">
        <v>10.595999999999998</v>
      </c>
      <c r="T40" s="985">
        <v>9.5693983694444444</v>
      </c>
      <c r="U40" s="816" t="s">
        <v>2062</v>
      </c>
      <c r="V40" s="867" cm="1">
        <f t="array" ref="V40">INDEX(SimaPro!$1:$1048576,V$3,MATCH(MainInput!$U40,SimaPro!$1:$1,0))*$R40*$H40</f>
        <v>0</v>
      </c>
      <c r="W40" s="867" cm="1">
        <f t="array" ref="W40">INDEX(SimaPro!$1:$1048576,W$3,MATCH(MainInput!$U40,SimaPro!$1:$1,0))*$R40*$H40</f>
        <v>0</v>
      </c>
      <c r="X40" s="867" cm="1">
        <f t="array" ref="X40">INDEX(SimaPro!$1:$1048576,X$3,MATCH(MainInput!$U40,SimaPro!$1:$1,0))*$R40*$H40</f>
        <v>0</v>
      </c>
      <c r="Y40" s="867" cm="1">
        <f t="array" ref="Y40">INDEX(SimaPro!$1:$1048576,Y$3,MATCH(MainInput!$U40,SimaPro!$1:$1,0))*$R40*$H40</f>
        <v>0</v>
      </c>
    </row>
    <row r="41" spans="1:25" ht="18" customHeight="1">
      <c r="B41" s="819" t="s">
        <v>2245</v>
      </c>
      <c r="C41" s="819" t="s">
        <v>2254</v>
      </c>
      <c r="D41" s="819" t="s">
        <v>2261</v>
      </c>
      <c r="E41" s="846" t="str">
        <f ca="1"/>
        <v>Biomethane, other certificates (default 10.6 kWh/m3)</v>
      </c>
      <c r="G41" s="784" t="str">
        <f t="shared" ca="1" si="1"/>
        <v>Biomethane, other certificates (default 10.6 kWh/m3)</v>
      </c>
      <c r="H41" s="810"/>
      <c r="I41" s="836"/>
      <c r="J41" s="825" t="s">
        <v>1867</v>
      </c>
      <c r="K41" s="825" t="s">
        <v>2045</v>
      </c>
      <c r="L41" s="825" t="s">
        <v>2046</v>
      </c>
      <c r="M41" s="819" t="str">
        <f ca="1"/>
        <v>Proof with certificate / guarantee of origin</v>
      </c>
      <c r="N41" s="822" t="str">
        <f>IF(H41&gt;0,M41,"")</f>
        <v/>
      </c>
      <c r="O41" s="824" t="s">
        <v>352</v>
      </c>
      <c r="Q41" s="990">
        <f>H41*R41</f>
        <v>0</v>
      </c>
      <c r="R41" s="991">
        <f>T41/S41</f>
        <v>0.90311422890189186</v>
      </c>
      <c r="S41" s="985">
        <v>10.595999999999998</v>
      </c>
      <c r="T41" s="985">
        <v>9.5693983694444444</v>
      </c>
      <c r="U41" s="816" t="s">
        <v>2063</v>
      </c>
      <c r="V41" s="867" cm="1">
        <f t="array" ref="V41">INDEX(SimaPro!$1:$1048576,V$3,MATCH(MainInput!$U41,SimaPro!$1:$1,0))*$R41*$H41</f>
        <v>0</v>
      </c>
      <c r="W41" s="867" cm="1">
        <f t="array" ref="W41">INDEX(SimaPro!$1:$1048576,W$3,MATCH(MainInput!$U41,SimaPro!$1:$1,0))*$R41*$H41</f>
        <v>0</v>
      </c>
      <c r="X41" s="867" cm="1">
        <f t="array" ref="X41">INDEX(SimaPro!$1:$1048576,X$3,MATCH(MainInput!$U41,SimaPro!$1:$1,0))*$R41*$H41</f>
        <v>0</v>
      </c>
      <c r="Y41" s="867" cm="1">
        <f t="array" ref="Y41">INDEX(SimaPro!$1:$1048576,Y$3,MATCH(MainInput!$U41,SimaPro!$1:$1,0))*$R41*$H41</f>
        <v>0</v>
      </c>
    </row>
    <row r="42" spans="1:25" ht="18" customHeight="1">
      <c r="B42" s="819" t="s">
        <v>1689</v>
      </c>
      <c r="C42" s="846" t="s">
        <v>2002</v>
      </c>
      <c r="D42" s="846" t="s">
        <v>2003</v>
      </c>
      <c r="E42" s="846" t="str">
        <f ca="1"/>
        <v>Sewage sludge incineration</v>
      </c>
      <c r="G42" s="819" t="str">
        <f t="shared" ca="1" si="1"/>
        <v>Sewage sludge incineration</v>
      </c>
      <c r="H42" s="810"/>
      <c r="M42" s="819">
        <f ca="1"/>
        <v>0</v>
      </c>
      <c r="N42" s="822"/>
      <c r="O42" s="824" t="s">
        <v>352</v>
      </c>
      <c r="Q42" s="990">
        <f>H42*R42</f>
        <v>0</v>
      </c>
      <c r="R42" s="988">
        <v>1</v>
      </c>
      <c r="S42" s="988"/>
      <c r="U42" s="815" t="s">
        <v>1960</v>
      </c>
      <c r="V42" s="867" cm="1">
        <f t="array" ref="V42">INDEX(SimaPro!$1:$1048576,V$3,MATCH(MainInput!$U42,SimaPro!$1:$1,0))*$R42*$H42</f>
        <v>0</v>
      </c>
      <c r="W42" s="867" cm="1">
        <f t="array" ref="W42">INDEX(SimaPro!$1:$1048576,W$3,MATCH(MainInput!$U42,SimaPro!$1:$1,0))*$R42*$H42</f>
        <v>0</v>
      </c>
      <c r="X42" s="867" cm="1">
        <f t="array" ref="X42">INDEX(SimaPro!$1:$1048576,X$3,MATCH(MainInput!$U42,SimaPro!$1:$1,0))*$R42*$H42</f>
        <v>0</v>
      </c>
      <c r="Y42" s="867" cm="1">
        <f t="array" ref="Y42">INDEX(SimaPro!$1:$1048576,Y$3,MATCH(MainInput!$U42,SimaPro!$1:$1,0))*$R42*$H42</f>
        <v>0</v>
      </c>
    </row>
    <row r="43" spans="1:25" ht="18" customHeight="1">
      <c r="B43" s="819" t="s">
        <v>2000</v>
      </c>
      <c r="C43" s="819" t="s">
        <v>2068</v>
      </c>
      <c r="D43" s="819" t="s">
        <v>2001</v>
      </c>
      <c r="E43" s="846" t="str">
        <f ca="1"/>
        <v>Municipal Waste incineration plant</v>
      </c>
      <c r="G43" s="819" t="str">
        <f t="shared" ca="1" si="1"/>
        <v>Municipal Waste incineration plant</v>
      </c>
      <c r="H43" s="810"/>
      <c r="M43" s="819">
        <f ca="1"/>
        <v>0</v>
      </c>
      <c r="O43" s="824" t="s">
        <v>352</v>
      </c>
      <c r="Q43" s="987">
        <f t="shared" ref="Q43:Q44" si="3">H43</f>
        <v>0</v>
      </c>
      <c r="R43" s="992">
        <v>5.8999999999999999E-3</v>
      </c>
      <c r="S43" s="992"/>
      <c r="T43" s="992"/>
      <c r="U43" s="921" t="s">
        <v>2070</v>
      </c>
      <c r="V43" s="920">
        <f t="shared" ref="V43:V44" si="4">$R43*$H43</f>
        <v>0</v>
      </c>
      <c r="W43" s="920"/>
      <c r="X43" s="920"/>
      <c r="Y43" s="920"/>
    </row>
    <row r="44" spans="1:25" ht="18" customHeight="1">
      <c r="B44" s="819" t="s">
        <v>2066</v>
      </c>
      <c r="C44" s="819" t="s">
        <v>2193</v>
      </c>
      <c r="D44" s="819" t="s">
        <v>2067</v>
      </c>
      <c r="E44" s="846" t="str">
        <f ca="1"/>
        <v>Municipal Waste incineration plant, naturemade resources star</v>
      </c>
      <c r="G44" s="819" t="str">
        <f t="shared" ca="1" si="1"/>
        <v>Municipal Waste incineration plant, naturemade resources star</v>
      </c>
      <c r="H44" s="810"/>
      <c r="J44" s="828" t="str">
        <f>J$41</f>
        <v>Nachweis mit Zertifikat/HKN</v>
      </c>
      <c r="K44" s="825" t="s">
        <v>2045</v>
      </c>
      <c r="L44" s="828" t="s">
        <v>2046</v>
      </c>
      <c r="M44" s="819" t="str">
        <f ca="1"/>
        <v>Proof with certificate / guarantee of origin</v>
      </c>
      <c r="N44" s="822" t="str">
        <f>IF(H44&gt;0,M44,"")</f>
        <v/>
      </c>
      <c r="O44" s="824" t="s">
        <v>352</v>
      </c>
      <c r="Q44" s="987">
        <f t="shared" si="3"/>
        <v>0</v>
      </c>
      <c r="R44" s="992">
        <v>3.362299E-3</v>
      </c>
      <c r="S44" s="992"/>
      <c r="T44" s="992"/>
      <c r="U44" s="816" t="s">
        <v>2069</v>
      </c>
      <c r="V44" s="920">
        <f t="shared" si="4"/>
        <v>0</v>
      </c>
      <c r="W44" s="920"/>
      <c r="X44" s="920"/>
      <c r="Y44" s="920"/>
    </row>
    <row r="45" spans="1:25" ht="18" customHeight="1">
      <c r="B45" s="819" t="s">
        <v>2246</v>
      </c>
      <c r="C45" s="819" t="s">
        <v>2253</v>
      </c>
      <c r="D45" s="819" t="s">
        <v>2262</v>
      </c>
      <c r="E45" s="846" t="str">
        <f ca="1"/>
        <v>Wood (default 5.6 kWh/kg)</v>
      </c>
      <c r="G45" s="819" t="str">
        <f t="shared" ca="1" si="1"/>
        <v>Wood (default 5.6 kWh/kg)</v>
      </c>
      <c r="H45" s="810"/>
      <c r="I45" s="836"/>
      <c r="J45" s="828"/>
      <c r="K45" s="834"/>
      <c r="L45" s="834"/>
      <c r="M45" s="819">
        <f ca="1"/>
        <v>0</v>
      </c>
      <c r="N45" s="822"/>
      <c r="O45" s="824" t="s">
        <v>352</v>
      </c>
      <c r="Q45" s="990">
        <f t="shared" ref="Q45:Q48" si="5">H45*R45</f>
        <v>0</v>
      </c>
      <c r="R45" s="991">
        <f t="shared" ref="R45:R46" si="6">T45/S45</f>
        <v>0.85714285714285721</v>
      </c>
      <c r="S45" s="988">
        <v>5.6</v>
      </c>
      <c r="T45" s="988">
        <v>4.8</v>
      </c>
      <c r="U45" s="815" t="s">
        <v>1950</v>
      </c>
      <c r="V45" s="867" cm="1">
        <f t="array" ref="V45">INDEX(SimaPro!$1:$1048576,V$3,MATCH(MainInput!$U45,SimaPro!$1:$1,0))*$R45*$H45</f>
        <v>0</v>
      </c>
      <c r="W45" s="867" cm="1">
        <f t="array" ref="W45">INDEX(SimaPro!$1:$1048576,W$3,MATCH(MainInput!$U45,SimaPro!$1:$1,0))*$R45*$H45</f>
        <v>0</v>
      </c>
      <c r="X45" s="867" cm="1">
        <f t="array" ref="X45">INDEX(SimaPro!$1:$1048576,X$3,MATCH(MainInput!$U45,SimaPro!$1:$1,0))*$R45*$H45</f>
        <v>0</v>
      </c>
      <c r="Y45" s="867" cm="1">
        <f t="array" ref="Y45">INDEX(SimaPro!$1:$1048576,Y$3,MATCH(MainInput!$U45,SimaPro!$1:$1,0))*$R45*$H45</f>
        <v>0</v>
      </c>
    </row>
    <row r="46" spans="1:25" ht="18" customHeight="1">
      <c r="B46" s="819" t="s">
        <v>2247</v>
      </c>
      <c r="C46" s="819" t="s">
        <v>2252</v>
      </c>
      <c r="D46" s="819" t="s">
        <v>2263</v>
      </c>
      <c r="E46" s="846" t="str">
        <f ca="1"/>
        <v>Wood, naturemade star (default 5.6 kWh/kg)</v>
      </c>
      <c r="G46" s="819" t="str">
        <f t="shared" ca="1" si="1"/>
        <v>Wood, naturemade star (default 5.6 kWh/kg)</v>
      </c>
      <c r="H46" s="810"/>
      <c r="I46" s="836"/>
      <c r="J46" s="828" t="str">
        <f>J$41</f>
        <v>Nachweis mit Zertifikat/HKN</v>
      </c>
      <c r="K46" s="825" t="s">
        <v>2045</v>
      </c>
      <c r="L46" s="828" t="s">
        <v>2046</v>
      </c>
      <c r="M46" s="819" t="str">
        <f ca="1"/>
        <v>Proof with certificate / guarantee of origin</v>
      </c>
      <c r="N46" s="822" t="str">
        <f>IF(H46&gt;0,M46,"")</f>
        <v/>
      </c>
      <c r="O46" s="824" t="s">
        <v>352</v>
      </c>
      <c r="Q46" s="990">
        <f t="shared" si="5"/>
        <v>0</v>
      </c>
      <c r="R46" s="991">
        <f t="shared" si="6"/>
        <v>0.85714285714285721</v>
      </c>
      <c r="S46" s="988">
        <v>5.6</v>
      </c>
      <c r="T46" s="988">
        <v>4.8</v>
      </c>
      <c r="U46" s="815" t="s">
        <v>1950</v>
      </c>
      <c r="V46" s="867" cm="1">
        <f t="array" ref="V46">INDEX(SimaPro!$1:$1048576,V$3,MATCH(MainInput!$U46,SimaPro!$1:$1,0))*$R46*$H46</f>
        <v>0</v>
      </c>
      <c r="W46" s="867" cm="1">
        <f t="array" ref="W46">INDEX(SimaPro!$1:$1048576,W$3,MATCH(MainInput!$U46,SimaPro!$1:$1,0))*$R46*$H46</f>
        <v>0</v>
      </c>
      <c r="X46" s="867" cm="1">
        <f t="array" ref="X46">INDEX(SimaPro!$1:$1048576,X$3,MATCH(MainInput!$U46,SimaPro!$1:$1,0))*$R46*$H46</f>
        <v>0</v>
      </c>
      <c r="Y46" s="867" cm="1">
        <f t="array" ref="Y46">INDEX(SimaPro!$1:$1048576,Y$3,MATCH(MainInput!$U46,SimaPro!$1:$1,0))*$R46*$H46</f>
        <v>0</v>
      </c>
    </row>
    <row r="47" spans="1:25" ht="18" customHeight="1">
      <c r="B47" s="819" t="s">
        <v>2248</v>
      </c>
      <c r="C47" s="819" t="s">
        <v>2251</v>
      </c>
      <c r="D47" s="819" t="s">
        <v>2264</v>
      </c>
      <c r="E47" s="846" t="str">
        <f ca="1"/>
        <v>Wood pellets (default 5.6 kWh/kg)</v>
      </c>
      <c r="G47" s="819" t="str">
        <f t="shared" ca="1" si="1"/>
        <v>Wood pellets (default 5.6 kWh/kg)</v>
      </c>
      <c r="H47" s="810"/>
      <c r="I47" s="836"/>
      <c r="J47" s="828"/>
      <c r="K47" s="834"/>
      <c r="L47" s="834"/>
      <c r="M47" s="819">
        <f ca="1"/>
        <v>0</v>
      </c>
      <c r="N47" s="822"/>
      <c r="O47" s="824" t="s">
        <v>352</v>
      </c>
      <c r="Q47" s="990">
        <f t="shared" si="5"/>
        <v>0</v>
      </c>
      <c r="R47" s="991">
        <f t="shared" ref="R47:R48" si="7">T47/S47</f>
        <v>0.85714285714285721</v>
      </c>
      <c r="S47" s="988">
        <v>5.6</v>
      </c>
      <c r="T47" s="988">
        <v>4.8</v>
      </c>
      <c r="U47" s="815" t="s">
        <v>1949</v>
      </c>
      <c r="V47" s="867" cm="1">
        <f t="array" ref="V47">INDEX(SimaPro!$1:$1048576,V$3,MATCH(MainInput!$U47,SimaPro!$1:$1,0))*$R47*$H47</f>
        <v>0</v>
      </c>
      <c r="W47" s="867" cm="1">
        <f t="array" ref="W47">INDEX(SimaPro!$1:$1048576,W$3,MATCH(MainInput!$U47,SimaPro!$1:$1,0))*$R47*$H47</f>
        <v>0</v>
      </c>
      <c r="X47" s="867" cm="1">
        <f t="array" ref="X47">INDEX(SimaPro!$1:$1048576,X$3,MATCH(MainInput!$U47,SimaPro!$1:$1,0))*$R47*$H47</f>
        <v>0</v>
      </c>
      <c r="Y47" s="867" cm="1">
        <f t="array" ref="Y47">INDEX(SimaPro!$1:$1048576,Y$3,MATCH(MainInput!$U47,SimaPro!$1:$1,0))*$R47*$H47</f>
        <v>0</v>
      </c>
    </row>
    <row r="48" spans="1:25" ht="18" customHeight="1">
      <c r="B48" s="784" t="s">
        <v>2249</v>
      </c>
      <c r="C48" s="784" t="s">
        <v>2250</v>
      </c>
      <c r="D48" s="784" t="s">
        <v>2265</v>
      </c>
      <c r="E48" s="846" t="str">
        <f ca="1"/>
        <v>Wood pellets, naturemade star (default 5.6 kWh/kg)</v>
      </c>
      <c r="G48" s="819" t="str">
        <f t="shared" ca="1" si="1"/>
        <v>Wood pellets, naturemade star (default 5.6 kWh/kg)</v>
      </c>
      <c r="H48" s="810"/>
      <c r="I48" s="836"/>
      <c r="J48" s="828" t="str">
        <f>J$41</f>
        <v>Nachweis mit Zertifikat/HKN</v>
      </c>
      <c r="K48" s="825" t="s">
        <v>2045</v>
      </c>
      <c r="L48" s="828" t="s">
        <v>2046</v>
      </c>
      <c r="M48" s="819" t="str">
        <f ca="1"/>
        <v>Proof with certificate / guarantee of origin</v>
      </c>
      <c r="N48" s="822" t="str">
        <f>IF(H48&gt;0,M48,"")</f>
        <v/>
      </c>
      <c r="O48" s="824" t="s">
        <v>352</v>
      </c>
      <c r="Q48" s="990">
        <f t="shared" si="5"/>
        <v>0</v>
      </c>
      <c r="R48" s="991">
        <f t="shared" si="7"/>
        <v>0.85714285714285721</v>
      </c>
      <c r="S48" s="988">
        <v>5.6</v>
      </c>
      <c r="T48" s="988">
        <v>4.8</v>
      </c>
      <c r="U48" s="815" t="s">
        <v>1949</v>
      </c>
      <c r="V48" s="867" cm="1">
        <f t="array" ref="V48">INDEX(SimaPro!$1:$1048576,V$3,MATCH(MainInput!$U48,SimaPro!$1:$1,0))*$R48*$H48</f>
        <v>0</v>
      </c>
      <c r="W48" s="867" cm="1">
        <f t="array" ref="W48">INDEX(SimaPro!$1:$1048576,W$3,MATCH(MainInput!$U48,SimaPro!$1:$1,0))*$R48*$H48</f>
        <v>0</v>
      </c>
      <c r="X48" s="867" cm="1">
        <f t="array" ref="X48">INDEX(SimaPro!$1:$1048576,X$3,MATCH(MainInput!$U48,SimaPro!$1:$1,0))*$R48*$H48</f>
        <v>0</v>
      </c>
      <c r="Y48" s="867" cm="1">
        <f t="array" ref="Y48">INDEX(SimaPro!$1:$1048576,Y$3,MATCH(MainInput!$U48,SimaPro!$1:$1,0))*$R48*$H48</f>
        <v>0</v>
      </c>
    </row>
    <row r="49" spans="1:30" ht="18" customHeight="1">
      <c r="B49" s="834" t="s">
        <v>352</v>
      </c>
      <c r="C49" s="834" t="s">
        <v>352</v>
      </c>
      <c r="D49" s="834" t="s">
        <v>352</v>
      </c>
      <c r="E49" s="846" t="str">
        <f ca="1"/>
        <v/>
      </c>
      <c r="G49" s="819" t="str">
        <f t="shared" ca="1" si="1"/>
        <v/>
      </c>
      <c r="H49" s="986"/>
      <c r="I49" s="836"/>
      <c r="J49" s="828"/>
      <c r="K49" s="834"/>
      <c r="L49" s="834"/>
      <c r="M49" s="819">
        <f ca="1"/>
        <v>0</v>
      </c>
      <c r="N49" s="822"/>
      <c r="O49" s="824" t="s">
        <v>352</v>
      </c>
      <c r="Q49" s="989"/>
      <c r="R49" s="985"/>
      <c r="S49" s="985"/>
      <c r="T49" s="985"/>
      <c r="V49" s="867"/>
      <c r="W49" s="867"/>
      <c r="X49" s="867"/>
      <c r="Y49" s="867"/>
    </row>
    <row r="50" spans="1:30" ht="18" customHeight="1">
      <c r="B50" s="819" t="s">
        <v>2055</v>
      </c>
      <c r="C50" s="846" t="s">
        <v>1984</v>
      </c>
      <c r="D50" s="819" t="s">
        <v>1985</v>
      </c>
      <c r="E50" s="846" t="str">
        <f ca="1"/>
        <v>Share of district heating in fuels and heat</v>
      </c>
      <c r="G50" s="819" t="str">
        <f t="shared" ca="1" si="1"/>
        <v>Share of district heating in fuels and heat</v>
      </c>
      <c r="H50" s="916">
        <v>0</v>
      </c>
      <c r="I50" s="836"/>
      <c r="J50" s="828" t="s">
        <v>2333</v>
      </c>
      <c r="K50" s="834" t="s">
        <v>2334</v>
      </c>
      <c r="L50" s="834" t="s">
        <v>2335</v>
      </c>
      <c r="M50" s="819" t="str">
        <f ca="1"/>
        <v>Please calculate the share of district heating in the total heat consumption, if district heating is used</v>
      </c>
      <c r="N50" s="822" t="str">
        <f ca="1">M50</f>
        <v>Please calculate the share of district heating in the total heat consumption, if district heating is used</v>
      </c>
      <c r="O50" s="838" t="s">
        <v>352</v>
      </c>
      <c r="Q50" s="993">
        <v>0.1</v>
      </c>
      <c r="R50" s="985">
        <f>H37</f>
        <v>0</v>
      </c>
      <c r="S50" s="985"/>
      <c r="T50" s="985"/>
      <c r="U50" s="815" t="s">
        <v>9</v>
      </c>
      <c r="V50" s="868" cm="1">
        <f t="array" ref="V50">INDEX(SimaPro!$1:$1048576,V$3,MATCH(MainInput!$U50,SimaPro!$1:$1,0))*$R50*$H50+$Q50*SUM(V38:V48)</f>
        <v>0</v>
      </c>
      <c r="W50" s="868" cm="1">
        <f t="array" ref="W50">INDEX(SimaPro!$1:$1048576,W$3,MATCH(MainInput!$U50,SimaPro!$1:$1,0))*$R50*$H50+$Q50*SUM(W38:W48)</f>
        <v>0</v>
      </c>
      <c r="X50" s="868" cm="1">
        <f t="array" ref="X50">INDEX(SimaPro!$1:$1048576,X$3,MATCH(MainInput!$U50,SimaPro!$1:$1,0))*$R50*$H50+$Q50*SUM(X38:X48)</f>
        <v>0</v>
      </c>
      <c r="Y50" s="868" cm="1">
        <f t="array" ref="Y50">INDEX(SimaPro!$1:$1048576,Y$3,MATCH(MainInput!$U50,SimaPro!$1:$1,0))*$R50*$H50+$Q50*SUM(Y38:Y48)</f>
        <v>0</v>
      </c>
    </row>
    <row r="51" spans="1:30" ht="18" customHeight="1">
      <c r="B51" s="834" t="s">
        <v>352</v>
      </c>
      <c r="C51" s="834" t="s">
        <v>352</v>
      </c>
      <c r="D51" s="834" t="s">
        <v>352</v>
      </c>
      <c r="E51" s="846" t="str">
        <f ca="1"/>
        <v/>
      </c>
      <c r="G51" s="819" t="str">
        <f t="shared" ca="1" si="1"/>
        <v/>
      </c>
      <c r="H51" s="982"/>
      <c r="I51" s="836"/>
      <c r="J51" s="828"/>
      <c r="K51" s="834"/>
      <c r="L51" s="834"/>
      <c r="M51" s="819">
        <f ca="1"/>
        <v>0</v>
      </c>
      <c r="N51" s="822"/>
      <c r="O51" s="824" t="s">
        <v>352</v>
      </c>
      <c r="Q51" s="989"/>
      <c r="R51" s="985"/>
      <c r="S51" s="985"/>
      <c r="T51" s="985"/>
      <c r="V51" s="867"/>
      <c r="W51" s="867"/>
      <c r="X51" s="867"/>
      <c r="Y51" s="867"/>
    </row>
    <row r="52" spans="1:30" ht="18" customHeight="1">
      <c r="B52" s="819" t="s">
        <v>1963</v>
      </c>
      <c r="C52" s="846" t="s">
        <v>1988</v>
      </c>
      <c r="D52" s="846" t="s">
        <v>1986</v>
      </c>
      <c r="E52" s="846" t="str">
        <f ca="1"/>
        <v>Total external energy consumption</v>
      </c>
      <c r="G52" s="980" t="str">
        <f t="shared" ca="1" si="1"/>
        <v>Total external energy consumption</v>
      </c>
      <c r="H52" s="981">
        <f>H37+H33+H28</f>
        <v>0</v>
      </c>
      <c r="I52" s="982"/>
      <c r="J52" s="828"/>
      <c r="K52" s="834"/>
      <c r="L52" s="834"/>
      <c r="M52" s="819">
        <f ca="1"/>
        <v>0</v>
      </c>
      <c r="N52" s="822"/>
      <c r="O52" s="824" t="s">
        <v>352</v>
      </c>
      <c r="Q52" s="1026">
        <f>Q37+Q33+Q28</f>
        <v>0</v>
      </c>
      <c r="R52" s="985">
        <v>1</v>
      </c>
      <c r="S52" s="985"/>
      <c r="T52" s="985"/>
      <c r="V52" s="867" t="e">
        <f>SUM(V29:V50)</f>
        <v>#N/A</v>
      </c>
      <c r="W52" s="867" t="e">
        <f>SUM(W29:W50)</f>
        <v>#N/A</v>
      </c>
      <c r="X52" s="867" t="e">
        <f>SUM(X29:X50)</f>
        <v>#N/A</v>
      </c>
      <c r="Y52" s="867" t="e">
        <f>SUM(Y29:Y50)</f>
        <v>#N/A</v>
      </c>
    </row>
    <row r="53" spans="1:30" ht="18" customHeight="1">
      <c r="B53" s="819" t="s">
        <v>1864</v>
      </c>
      <c r="C53" s="846" t="s">
        <v>1989</v>
      </c>
      <c r="D53" s="846" t="s">
        <v>1987</v>
      </c>
      <c r="E53" s="846" t="str">
        <f ca="1"/>
        <v>To be deducted for calculation of net energy</v>
      </c>
      <c r="G53" s="994" t="str">
        <f t="shared" ca="1" si="1"/>
        <v>To be deducted for calculation of net energy</v>
      </c>
      <c r="H53" s="995">
        <f>H52-H30-H40-H42-H44-H46-H48</f>
        <v>0</v>
      </c>
      <c r="I53" s="836"/>
      <c r="J53" s="828"/>
      <c r="K53" s="834"/>
      <c r="L53" s="834"/>
      <c r="M53" s="819">
        <f ca="1"/>
        <v>0</v>
      </c>
      <c r="N53" s="822"/>
      <c r="O53" s="824" t="s">
        <v>352</v>
      </c>
      <c r="Q53" s="989"/>
      <c r="R53" s="985">
        <v>1</v>
      </c>
      <c r="S53" s="985"/>
      <c r="T53" s="985"/>
      <c r="V53" s="928"/>
      <c r="W53" s="928"/>
      <c r="X53" s="928"/>
      <c r="Y53" s="928"/>
    </row>
    <row r="54" spans="1:30" ht="18" customHeight="1">
      <c r="B54" s="834" t="s">
        <v>352</v>
      </c>
      <c r="C54" s="834" t="s">
        <v>352</v>
      </c>
      <c r="D54" s="834" t="s">
        <v>352</v>
      </c>
      <c r="E54" s="846" t="str">
        <f ca="1"/>
        <v/>
      </c>
      <c r="G54" s="819"/>
      <c r="H54" s="984"/>
      <c r="I54" s="836"/>
      <c r="J54" s="828"/>
      <c r="K54" s="834"/>
      <c r="L54" s="834"/>
      <c r="M54" s="819">
        <f ca="1"/>
        <v>0</v>
      </c>
      <c r="N54" s="822"/>
      <c r="O54" s="824" t="s">
        <v>352</v>
      </c>
      <c r="Q54" s="989"/>
      <c r="R54" s="985">
        <v>1</v>
      </c>
      <c r="S54" s="985"/>
      <c r="T54" s="985"/>
      <c r="V54" s="867"/>
      <c r="W54" s="867"/>
      <c r="X54" s="867"/>
      <c r="Y54" s="867"/>
    </row>
    <row r="55" spans="1:30" ht="18" customHeight="1">
      <c r="A55" s="815">
        <v>11</v>
      </c>
      <c r="B55" s="819" t="s">
        <v>1868</v>
      </c>
      <c r="C55" s="846" t="s">
        <v>2009</v>
      </c>
      <c r="D55" s="846" t="s">
        <v>2008</v>
      </c>
      <c r="E55" s="846" t="str">
        <f ca="1"/>
        <v>Energy products</v>
      </c>
      <c r="G55" s="973" t="str">
        <f ca="1">E55</f>
        <v>Energy products</v>
      </c>
      <c r="H55" s="973"/>
      <c r="I55" s="973"/>
      <c r="J55" s="828"/>
      <c r="K55" s="828"/>
      <c r="L55" s="828"/>
      <c r="M55" s="819">
        <f ca="1"/>
        <v>0</v>
      </c>
      <c r="N55" s="973"/>
      <c r="O55" s="824" t="s">
        <v>352</v>
      </c>
      <c r="R55" s="985">
        <v>1</v>
      </c>
      <c r="S55" s="985"/>
      <c r="T55" s="985"/>
      <c r="V55" s="867"/>
      <c r="W55" s="867"/>
      <c r="X55" s="867"/>
      <c r="Y55" s="867"/>
    </row>
    <row r="56" spans="1:30" ht="18" customHeight="1">
      <c r="B56" s="834" t="s">
        <v>352</v>
      </c>
      <c r="C56" s="834" t="s">
        <v>352</v>
      </c>
      <c r="D56" s="834" t="s">
        <v>352</v>
      </c>
      <c r="E56" s="846" t="str">
        <f ca="1"/>
        <v/>
      </c>
      <c r="G56" s="974"/>
      <c r="H56" s="841"/>
      <c r="I56" s="836"/>
      <c r="J56" s="828"/>
      <c r="K56" s="828"/>
      <c r="L56" s="828"/>
      <c r="M56" s="819">
        <f ca="1"/>
        <v>0</v>
      </c>
      <c r="N56" s="822"/>
      <c r="O56" s="824" t="s">
        <v>352</v>
      </c>
      <c r="R56" s="985">
        <v>1</v>
      </c>
      <c r="S56" s="985"/>
      <c r="T56" s="985"/>
      <c r="V56" s="867" cm="1">
        <f t="array" ref="V56">INDEX(SimaPro!$1:$1048576,V$3,MATCH(MainInput!$U56,SimaPro!$1:$1,0))*$R56*$H56</f>
        <v>0</v>
      </c>
      <c r="W56" s="867" cm="1">
        <f t="array" ref="W56">INDEX(SimaPro!$1:$1048576,W$3,MATCH(MainInput!$U56,SimaPro!$1:$1,0))*$R56*$H56</f>
        <v>0</v>
      </c>
      <c r="X56" s="867" cm="1">
        <f t="array" ref="X56">INDEX(SimaPro!$1:$1048576,X$3,MATCH(MainInput!$U56,SimaPro!$1:$1,0))*$R56*$H56</f>
        <v>0</v>
      </c>
      <c r="Y56" s="867" cm="1">
        <f t="array" ref="Y56">INDEX(SimaPro!$1:$1048576,Y$3,MATCH(MainInput!$U56,SimaPro!$1:$1,0))*$R56*$H56</f>
        <v>0</v>
      </c>
    </row>
    <row r="57" spans="1:30" ht="18" customHeight="1">
      <c r="B57" s="819" t="s">
        <v>2272</v>
      </c>
      <c r="C57" s="819" t="s">
        <v>2273</v>
      </c>
      <c r="D57" s="819" t="s">
        <v>2274</v>
      </c>
      <c r="E57" s="846" t="str">
        <f ca="1"/>
        <v>Biogas (specify higher heating value)</v>
      </c>
      <c r="G57" s="980" t="str">
        <f ca="1">E57</f>
        <v>Biogas (specify higher heating value)</v>
      </c>
      <c r="H57" s="835" t="s">
        <v>1190</v>
      </c>
      <c r="I57" s="982"/>
      <c r="J57" s="828"/>
      <c r="K57" s="828"/>
      <c r="L57" s="828"/>
      <c r="M57" s="819">
        <f ca="1"/>
        <v>0</v>
      </c>
      <c r="N57" s="822"/>
      <c r="O57" s="824" t="s">
        <v>352</v>
      </c>
      <c r="R57" s="985">
        <v>1</v>
      </c>
      <c r="S57" s="985"/>
      <c r="T57" s="985"/>
      <c r="V57" s="867" t="e" cm="1">
        <f t="array" ref="V57">INDEX(SimaPro!$1:$1048576,V$3,MATCH(MainInput!$U57,SimaPro!$1:$1,0))*$R57*$H57</f>
        <v>#VALUE!</v>
      </c>
      <c r="W57" s="867" t="e" cm="1">
        <f t="array" ref="W57">INDEX(SimaPro!$1:$1048576,W$3,MATCH(MainInput!$U57,SimaPro!$1:$1,0))*$R57*$H57</f>
        <v>#VALUE!</v>
      </c>
      <c r="X57" s="867" t="e" cm="1">
        <f t="array" ref="X57">INDEX(SimaPro!$1:$1048576,X$3,MATCH(MainInput!$U57,SimaPro!$1:$1,0))*$R57*$H57</f>
        <v>#VALUE!</v>
      </c>
      <c r="Y57" s="867" t="e" cm="1">
        <f t="array" ref="Y57">INDEX(SimaPro!$1:$1048576,Y$3,MATCH(MainInput!$U57,SimaPro!$1:$1,0))*$R57*$H57</f>
        <v>#VALUE!</v>
      </c>
    </row>
    <row r="58" spans="1:30" ht="18" customHeight="1">
      <c r="A58" s="815">
        <v>12</v>
      </c>
      <c r="B58" s="819" t="s">
        <v>2268</v>
      </c>
      <c r="C58" s="819" t="s">
        <v>2278</v>
      </c>
      <c r="D58" s="819" t="s">
        <v>2275</v>
      </c>
      <c r="E58" s="846" t="str">
        <f ca="1"/>
        <v>Gross production biogas (default 7.4 kWh/m3)</v>
      </c>
      <c r="G58" s="983" t="str">
        <f ca="1">E58</f>
        <v>Gross production biogas (default 7.4 kWh/m3)</v>
      </c>
      <c r="H58" s="854"/>
      <c r="I58" s="949">
        <f t="shared" ref="I58" si="8">IF(O58,1,-1)</f>
        <v>-1</v>
      </c>
      <c r="J58" s="1010" t="s">
        <v>1829</v>
      </c>
      <c r="K58" s="1011" t="s">
        <v>2337</v>
      </c>
      <c r="L58" s="1011" t="s">
        <v>2336</v>
      </c>
      <c r="M58" s="819" t="str">
        <f ca="1"/>
        <v>Gas yield greater than 125% of theoretical yield or missing input</v>
      </c>
      <c r="N58" s="822" t="str">
        <f>IFERROR(IF(H58=0,"please specify / Bitte angeben / veuillez préciser",IF(O58,"",M58)),0)</f>
        <v>please specify / Bitte angeben / veuillez préciser</v>
      </c>
      <c r="O58" s="838" t="b">
        <f>IF(H58=0,FALSE,Q58/5.7&lt;Gasertrag_berechnet*1.25)</f>
        <v>0</v>
      </c>
      <c r="P58" s="839">
        <f>Gasertrag_berechnet/5.7</f>
        <v>0</v>
      </c>
      <c r="Q58" s="990">
        <f t="shared" ref="Q58:Q60" si="9">H58*R58</f>
        <v>0</v>
      </c>
      <c r="R58" s="991">
        <f>T58/S58</f>
        <v>0.90311248833221591</v>
      </c>
      <c r="S58" s="985">
        <v>7.3951250000000002</v>
      </c>
      <c r="T58" s="985">
        <v>6.6786297402777786</v>
      </c>
      <c r="V58" s="867" cm="1">
        <f t="array" ref="V58">INDEX(SimaPro!$1:$1048576,V$3,MATCH(MainInput!$U58,SimaPro!$1:$1,0))*$R58*$H58</f>
        <v>0</v>
      </c>
      <c r="W58" s="867" cm="1">
        <f t="array" ref="W58">INDEX(SimaPro!$1:$1048576,W$3,MATCH(MainInput!$U58,SimaPro!$1:$1,0))*$R58*$H58</f>
        <v>0</v>
      </c>
      <c r="X58" s="867" cm="1">
        <f t="array" ref="X58">INDEX(SimaPro!$1:$1048576,X$3,MATCH(MainInput!$U58,SimaPro!$1:$1,0))*$R58*$H58</f>
        <v>0</v>
      </c>
      <c r="Y58" s="867" cm="1">
        <f t="array" ref="Y58">INDEX(SimaPro!$1:$1048576,Y$3,MATCH(MainInput!$U58,SimaPro!$1:$1,0))*$R58*$H58</f>
        <v>0</v>
      </c>
    </row>
    <row r="59" spans="1:30" ht="18" customHeight="1">
      <c r="A59" s="815">
        <v>24</v>
      </c>
      <c r="B59" s="819" t="s">
        <v>2352</v>
      </c>
      <c r="C59" s="819" t="s">
        <v>2353</v>
      </c>
      <c r="D59" s="819" t="s">
        <v>2354</v>
      </c>
      <c r="E59" s="846" t="str">
        <f ca="1"/>
        <v>Methane slip in upgrading plant (default 7.4 kWh/m3)</v>
      </c>
      <c r="G59" s="819" t="str">
        <f ca="1">E59</f>
        <v>Methane slip in upgrading plant (default 7.4 kWh/m3)</v>
      </c>
      <c r="H59" s="856"/>
      <c r="I59" s="949">
        <f>IF(ISNA(O59),0,IF(O59,1,-1))</f>
        <v>-1</v>
      </c>
      <c r="J59" s="828" t="s">
        <v>1974</v>
      </c>
      <c r="K59" s="834" t="s">
        <v>1975</v>
      </c>
      <c r="L59" s="834" t="s">
        <v>1976</v>
      </c>
      <c r="M59" s="819" t="str">
        <f ca="1"/>
        <v>Methane slip is greater than 1% of the amount of biogas produced!</v>
      </c>
      <c r="N59" s="822" t="str">
        <f>IFERROR(IF(H59=0,"please specify / Bitte angeben / veuillez préciser",IF(O59,"",M59)),0)</f>
        <v>please specify / Bitte angeben / veuillez préciser</v>
      </c>
      <c r="O59" s="824" t="b">
        <f>IF(H59=0,FALSE,H59/H58&lt;1.1%)</f>
        <v>0</v>
      </c>
      <c r="P59" s="840" t="e">
        <f>Q59/Q58</f>
        <v>#DIV/0!</v>
      </c>
      <c r="Q59" s="990">
        <f t="shared" si="9"/>
        <v>0</v>
      </c>
      <c r="R59" s="988">
        <f>R58</f>
        <v>0.90311248833221591</v>
      </c>
      <c r="S59" s="988"/>
      <c r="T59" s="988"/>
      <c r="U59" s="815" t="s">
        <v>7</v>
      </c>
      <c r="V59" s="867" cm="1">
        <f t="array" ref="V59">INDEX(SimaPro!$1:$1048576,V$3,MATCH(MainInput!$U59,SimaPro!$1:$1,0))*$R59*$H59</f>
        <v>0</v>
      </c>
      <c r="W59" s="867" cm="1">
        <f t="array" ref="W59">INDEX(SimaPro!$1:$1048576,W$3,MATCH(MainInput!$U59,SimaPro!$1:$1,0))*$R59*$H59</f>
        <v>0</v>
      </c>
      <c r="X59" s="867" cm="1">
        <f t="array" ref="X59">INDEX(SimaPro!$1:$1048576,X$3,MATCH(MainInput!$U59,SimaPro!$1:$1,0))*$R59*$H59</f>
        <v>0</v>
      </c>
      <c r="Y59" s="867" cm="1">
        <f t="array" ref="Y59">INDEX(SimaPro!$1:$1048576,Y$3,MATCH(MainInput!$U59,SimaPro!$1:$1,0))*$R59*$H59</f>
        <v>0</v>
      </c>
    </row>
    <row r="60" spans="1:30" ht="18" customHeight="1">
      <c r="A60" s="815">
        <v>122</v>
      </c>
      <c r="B60" s="819" t="s">
        <v>2269</v>
      </c>
      <c r="C60" s="819" t="s">
        <v>2277</v>
      </c>
      <c r="D60" s="819" t="s">
        <v>2276</v>
      </c>
      <c r="E60" s="846" t="str">
        <f ca="1"/>
        <v>Biogas burned in flare (default 7.4 kWh/m3)</v>
      </c>
      <c r="G60" s="819" t="str">
        <f ca="1">E60</f>
        <v>Biogas burned in flare (default 7.4 kWh/m3)</v>
      </c>
      <c r="H60" s="970"/>
      <c r="I60" s="949">
        <f>IF(H58=0,0,IF(AND(H58&gt;0,H60=0),0,IF(O60,1,-1)))</f>
        <v>0</v>
      </c>
      <c r="J60" s="828" t="s">
        <v>1826</v>
      </c>
      <c r="K60" s="834" t="s">
        <v>1831</v>
      </c>
      <c r="L60" s="834" t="s">
        <v>1832</v>
      </c>
      <c r="M60" s="819" t="str">
        <f ca="1"/>
        <v>More than 3% (with CHP) or 7% (without CHP) of the gas produced is burned in a flare</v>
      </c>
      <c r="N60" s="822" t="str">
        <f>IFERROR(IF(H60=0,"please specify / Bitte angeben / veuillez préciser",IF(O60,"",M60)),0)</f>
        <v>please specify / Bitte angeben / veuillez préciser</v>
      </c>
      <c r="O60" s="815" t="b">
        <f>IF(OR(AND(H64&gt;0,H60&lt;H58*0.03),AND(H64=0,H60&lt;H58*0.07)),TRUE,FALSE)</f>
        <v>0</v>
      </c>
      <c r="Q60" s="990">
        <f t="shared" si="9"/>
        <v>0</v>
      </c>
      <c r="R60" s="991">
        <f>T60/S60</f>
        <v>0.90311248833221591</v>
      </c>
      <c r="S60" s="985">
        <v>7.3951250000000002</v>
      </c>
      <c r="T60" s="985">
        <v>6.6786297402777786</v>
      </c>
      <c r="U60" s="815" t="s">
        <v>1716</v>
      </c>
      <c r="V60" s="869" cm="1">
        <f t="array" ref="V60">INDEX(SimaPro!$1:$1048576,V$3,MATCH(MainInput!$U60,SimaPro!$1:$1,0))*$R60*$H60</f>
        <v>0</v>
      </c>
      <c r="W60" s="869" cm="1">
        <f t="array" ref="W60">INDEX(SimaPro!$1:$1048576,W$3,MATCH(MainInput!$U60,SimaPro!$1:$1,0))*$R60*$H60</f>
        <v>0</v>
      </c>
      <c r="X60" s="869" cm="1">
        <f t="array" ref="X60">INDEX(SimaPro!$1:$1048576,X$3,MATCH(MainInput!$U60,SimaPro!$1:$1,0))*$R60*$H60</f>
        <v>0</v>
      </c>
      <c r="Y60" s="869" cm="1">
        <f t="array" ref="Y60">INDEX(SimaPro!$1:$1048576,Y$3,MATCH(MainInput!$U60,SimaPro!$1:$1,0))*$R60*$H60</f>
        <v>0</v>
      </c>
    </row>
    <row r="61" spans="1:30" ht="18" customHeight="1">
      <c r="B61" s="834" t="s">
        <v>352</v>
      </c>
      <c r="C61" s="834" t="s">
        <v>352</v>
      </c>
      <c r="D61" s="834" t="s">
        <v>352</v>
      </c>
      <c r="E61" s="846" t="str">
        <f ca="1"/>
        <v/>
      </c>
      <c r="G61" s="819"/>
      <c r="H61" s="870"/>
      <c r="I61" s="949"/>
      <c r="J61" s="825"/>
      <c r="K61" s="819"/>
      <c r="L61" s="819"/>
      <c r="M61" s="819">
        <f ca="1"/>
        <v>0</v>
      </c>
      <c r="N61" s="822"/>
      <c r="O61" s="824" t="s">
        <v>352</v>
      </c>
      <c r="Q61" s="989"/>
      <c r="R61" s="985"/>
      <c r="S61" s="985"/>
      <c r="T61" s="985"/>
      <c r="V61" s="867"/>
      <c r="W61" s="867"/>
      <c r="X61" s="867"/>
      <c r="Y61" s="867"/>
    </row>
    <row r="62" spans="1:30" ht="18" customHeight="1">
      <c r="A62" s="815">
        <v>16</v>
      </c>
      <c r="B62" s="819" t="s">
        <v>2270</v>
      </c>
      <c r="C62" s="819" t="s">
        <v>2282</v>
      </c>
      <c r="D62" s="819" t="s">
        <v>2279</v>
      </c>
      <c r="E62" s="846" t="str">
        <f ca="1"/>
        <v>Biomethane: sale and external consumption (default 10.6 kWh Ho/m3)</v>
      </c>
      <c r="G62" s="784" t="str">
        <f t="shared" ref="G62:G67" ca="1" si="10">E62</f>
        <v>Biomethane: sale and external consumption (default 10.6 kWh Ho/m3)</v>
      </c>
      <c r="H62" s="856"/>
      <c r="J62" s="828"/>
      <c r="K62" s="828"/>
      <c r="L62" s="828"/>
      <c r="M62" s="819">
        <f ca="1"/>
        <v>0</v>
      </c>
      <c r="N62" s="822"/>
      <c r="O62" s="824" t="s">
        <v>352</v>
      </c>
      <c r="Q62" s="990">
        <f t="shared" ref="Q62:Q64" si="11">H62*R62</f>
        <v>0</v>
      </c>
      <c r="R62" s="985">
        <f>R63</f>
        <v>0.90311248833221591</v>
      </c>
      <c r="S62" s="985"/>
      <c r="T62" s="985"/>
      <c r="U62" s="815" t="s">
        <v>8</v>
      </c>
      <c r="V62" s="867" cm="1">
        <f t="array" ref="V62">INDEX(SimaPro!$1:$1048576,V$3,MATCH(MainInput!$U62,SimaPro!$1:$1,0))*$R62*$H62</f>
        <v>0</v>
      </c>
      <c r="W62" s="867" cm="1">
        <f t="array" ref="W62">INDEX(SimaPro!$1:$1048576,W$3,MATCH(MainInput!$U62,SimaPro!$1:$1,0))*$R62*$H62</f>
        <v>0</v>
      </c>
      <c r="X62" s="867" cm="1">
        <f t="array" ref="X62">INDEX(SimaPro!$1:$1048576,X$3,MATCH(MainInput!$U62,SimaPro!$1:$1,0))*$R62*$H62</f>
        <v>0</v>
      </c>
      <c r="Y62" s="867" cm="1">
        <f t="array" ref="Y62">INDEX(SimaPro!$1:$1048576,Y$3,MATCH(MainInput!$U62,SimaPro!$1:$1,0))*$R62*$H62</f>
        <v>0</v>
      </c>
      <c r="Z62" s="997" t="s">
        <v>59</v>
      </c>
      <c r="AA62" s="867" cm="1">
        <f t="array" ref="AA62">INDEX(SimaPro!$1:$1048576,AA$3,MATCH(MainInput!$Z62,SimaPro!$1:$1,0))*$R62*$H62</f>
        <v>0</v>
      </c>
      <c r="AB62" s="867" cm="1">
        <f t="array" ref="AB62">INDEX(SimaPro!$1:$1048576,AB$3,MATCH(MainInput!$Z62,SimaPro!$1:$1,0))*$R62*$H62</f>
        <v>0</v>
      </c>
      <c r="AC62" s="867" cm="1">
        <f t="array" ref="AC62">INDEX(SimaPro!$1:$1048576,AC$3,MATCH(MainInput!$Z62,SimaPro!$1:$1,0))*$R62*$H62</f>
        <v>0</v>
      </c>
      <c r="AD62" s="867" cm="1">
        <f t="array" ref="AD62">INDEX(SimaPro!$1:$1048576,AD$3,MATCH(MainInput!$Z62,SimaPro!$1:$1,0))*$R62*$H62</f>
        <v>0</v>
      </c>
    </row>
    <row r="63" spans="1:30" ht="18" customHeight="1">
      <c r="A63" s="815">
        <v>116</v>
      </c>
      <c r="B63" s="819" t="s">
        <v>2271</v>
      </c>
      <c r="C63" s="819" t="s">
        <v>2281</v>
      </c>
      <c r="D63" s="819" t="s">
        <v>2280</v>
      </c>
      <c r="E63" s="846" t="str">
        <f ca="1"/>
        <v>Biogas: sale and external consumption (default 7.4 kWh/m3)</v>
      </c>
      <c r="G63" s="819" t="str">
        <f t="shared" ca="1" si="10"/>
        <v>Biogas: sale and external consumption (default 7.4 kWh/m3)</v>
      </c>
      <c r="H63" s="856"/>
      <c r="J63" s="828"/>
      <c r="K63" s="828"/>
      <c r="L63" s="828"/>
      <c r="M63" s="819">
        <f ca="1"/>
        <v>0</v>
      </c>
      <c r="N63" s="822"/>
      <c r="Q63" s="990">
        <f t="shared" si="11"/>
        <v>0</v>
      </c>
      <c r="R63" s="991">
        <f>T63/S63</f>
        <v>0.90311248833221591</v>
      </c>
      <c r="S63" s="985">
        <v>7.3951250000000002</v>
      </c>
      <c r="T63" s="985">
        <v>6.6786297402777786</v>
      </c>
      <c r="U63" s="815" t="s">
        <v>1188</v>
      </c>
      <c r="V63" s="867" cm="1">
        <f t="array" ref="V63">INDEX(SimaPro!$1:$1048576,V$3,MATCH(MainInput!$U63,SimaPro!$1:$1,0))*$R63*$H63</f>
        <v>0</v>
      </c>
      <c r="W63" s="867" cm="1">
        <f t="array" ref="W63">INDEX(SimaPro!$1:$1048576,W$3,MATCH(MainInput!$U63,SimaPro!$1:$1,0))*$R63*$H63</f>
        <v>0</v>
      </c>
      <c r="X63" s="867" cm="1">
        <f t="array" ref="X63">INDEX(SimaPro!$1:$1048576,X$3,MATCH(MainInput!$U63,SimaPro!$1:$1,0))*$R63*$H63</f>
        <v>0</v>
      </c>
      <c r="Y63" s="867" cm="1">
        <f t="array" ref="Y63">INDEX(SimaPro!$1:$1048576,Y$3,MATCH(MainInput!$U63,SimaPro!$1:$1,0))*$R63*$H63</f>
        <v>0</v>
      </c>
      <c r="Z63" s="672" t="s">
        <v>59</v>
      </c>
      <c r="AA63" s="867" cm="1">
        <f t="array" ref="AA63">INDEX(SimaPro!$1:$1048576,AA$3,MATCH(MainInput!$Z63,SimaPro!$1:$1,0))*$R63*$H63</f>
        <v>0</v>
      </c>
      <c r="AB63" s="867" cm="1">
        <f t="array" ref="AB63">INDEX(SimaPro!$1:$1048576,AB$3,MATCH(MainInput!$Z63,SimaPro!$1:$1,0))*$R63*$H63</f>
        <v>0</v>
      </c>
      <c r="AC63" s="867" cm="1">
        <f t="array" ref="AC63">INDEX(SimaPro!$1:$1048576,AC$3,MATCH(MainInput!$Z63,SimaPro!$1:$1,0))*$R63*$H63</f>
        <v>0</v>
      </c>
      <c r="AD63" s="867" cm="1">
        <f t="array" ref="AD63">INDEX(SimaPro!$1:$1048576,AD$3,MATCH(MainInput!$Z63,SimaPro!$1:$1,0))*$R63*$H63</f>
        <v>0</v>
      </c>
    </row>
    <row r="64" spans="1:30" ht="18" customHeight="1">
      <c r="A64" s="815">
        <v>13</v>
      </c>
      <c r="B64" s="819" t="s">
        <v>2446</v>
      </c>
      <c r="C64" s="819" t="s">
        <v>2447</v>
      </c>
      <c r="D64" s="819" t="s">
        <v>2448</v>
      </c>
      <c r="E64" s="846" t="str">
        <f ca="1"/>
        <v>Biogas: local use in heating or CHP (default 7.4 kWh/m3)</v>
      </c>
      <c r="G64" s="819" t="str">
        <f t="shared" ca="1" si="10"/>
        <v>Biogas: local use in heating or CHP (default 7.4 kWh/m3)</v>
      </c>
      <c r="H64" s="857"/>
      <c r="I64" s="949">
        <f>IF(AND(H64&gt;0,H70+H76+H78=0),0,1)</f>
        <v>1</v>
      </c>
      <c r="J64" s="828" t="s">
        <v>2346</v>
      </c>
      <c r="K64" s="834" t="s">
        <v>2348</v>
      </c>
      <c r="L64" s="834" t="s">
        <v>2347</v>
      </c>
      <c r="M64" s="819" t="str">
        <f ca="1"/>
        <v>Please enter electricity or heat production below</v>
      </c>
      <c r="N64" s="822" t="str">
        <f>IF(I64=0,M64,"")</f>
        <v/>
      </c>
      <c r="O64" s="824" t="s">
        <v>352</v>
      </c>
      <c r="Q64" s="990">
        <f t="shared" si="11"/>
        <v>0</v>
      </c>
      <c r="R64" s="991">
        <f>T64/S64</f>
        <v>0.90311248833221591</v>
      </c>
      <c r="S64" s="985">
        <v>7.3951250000000002</v>
      </c>
      <c r="T64" s="985">
        <v>6.6786297402777786</v>
      </c>
      <c r="U64" s="864" t="str" cm="1">
        <f t="array" aca="1" ref="U64" ca="1">INDEX(menuesBG!$1:$1048576,MATCH(MainInput!H65,menuesBG!F:F,0),COLUMN(menuesBG!$H$1))</f>
        <v>biogas combustion, in cogen with biogas engine/MJ/CH U</v>
      </c>
      <c r="V64" s="869" cm="1">
        <f t="array" aca="1" ref="V64" ca="1">INDEX(SimaPro!$1:$1048576,V$3,MATCH(MainInput!$U64,SimaPro!$1:$1,0))*$R64*$H64</f>
        <v>0</v>
      </c>
      <c r="W64" s="869" cm="1">
        <f t="array" aca="1" ref="W64" ca="1">INDEX(SimaPro!$1:$1048576,W$3,MATCH(MainInput!$U64,SimaPro!$1:$1,0))*$R64*$H64</f>
        <v>0</v>
      </c>
      <c r="X64" s="869" cm="1">
        <f t="array" aca="1" ref="X64" ca="1">INDEX(SimaPro!$1:$1048576,X$3,MATCH(MainInput!$U64,SimaPro!$1:$1,0))*$R64*$H64</f>
        <v>0</v>
      </c>
      <c r="Y64" s="869" cm="1">
        <f t="array" aca="1" ref="Y64" ca="1">INDEX(SimaPro!$1:$1048576,Y$3,MATCH(MainInput!$U64,SimaPro!$1:$1,0))*$R64*$H64</f>
        <v>0</v>
      </c>
    </row>
    <row r="65" spans="1:30" ht="18" customHeight="1">
      <c r="A65" s="815">
        <v>81</v>
      </c>
      <c r="B65" s="819" t="s">
        <v>1991</v>
      </c>
      <c r="C65" s="819" t="s">
        <v>1992</v>
      </c>
      <c r="D65" s="819" t="s">
        <v>1993</v>
      </c>
      <c r="E65" s="846" t="str">
        <f ca="1"/>
        <v>Biogas: Type of local use</v>
      </c>
      <c r="G65" s="819" t="str">
        <f t="shared" ca="1" si="10"/>
        <v>Biogas: Type of local use</v>
      </c>
      <c r="H65" s="858" t="s">
        <v>1233</v>
      </c>
      <c r="I65" s="949">
        <f>IF(ISNA(O65),0,IF(H64=0,1,IF(O65,1,-1)))</f>
        <v>1</v>
      </c>
      <c r="J65" s="828" t="s">
        <v>352</v>
      </c>
      <c r="K65" s="834" t="s">
        <v>352</v>
      </c>
      <c r="L65" s="834" t="s">
        <v>352</v>
      </c>
      <c r="M65" s="819" t="str">
        <f ca="1"/>
        <v/>
      </c>
      <c r="N65" s="822" t="str">
        <f>IFERROR(IF(O65,"",M65),$M$8)</f>
        <v/>
      </c>
      <c r="O65" s="824" t="b">
        <f>IF(BHKW/BHKW=1,TRUE,BHKW/BHKW)</f>
        <v>1</v>
      </c>
      <c r="P65" s="815">
        <f>MATCH(MainInput!H65,menuesBG!F$82:F$86,0)</f>
        <v>1</v>
      </c>
      <c r="R65" s="985">
        <v>1</v>
      </c>
      <c r="S65" s="985"/>
      <c r="T65" s="985"/>
      <c r="V65" s="867"/>
      <c r="W65" s="867"/>
      <c r="X65" s="867"/>
      <c r="Y65" s="867"/>
    </row>
    <row r="66" spans="1:30" ht="18" customHeight="1">
      <c r="A66" s="815">
        <v>103</v>
      </c>
      <c r="B66" s="819" t="s">
        <v>2440</v>
      </c>
      <c r="C66" s="819" t="s">
        <v>2441</v>
      </c>
      <c r="D66" s="819" t="s">
        <v>2442</v>
      </c>
      <c r="E66" s="846" t="str">
        <f ca="1"/>
        <v>Biogas: Nitrogen oxides NOx as NO2 from heating or CHP</v>
      </c>
      <c r="G66" s="819" t="str">
        <f t="shared" ca="1" si="10"/>
        <v>Biogas: Nitrogen oxides NOx as NO2 from heating or CHP</v>
      </c>
      <c r="H66" s="811">
        <v>400</v>
      </c>
      <c r="I66" s="978">
        <f t="shared" ref="I66" si="12">IF(O66,1,-1)</f>
        <v>1</v>
      </c>
      <c r="J66" s="825" t="s">
        <v>1814</v>
      </c>
      <c r="K66" s="819" t="s">
        <v>1827</v>
      </c>
      <c r="L66" s="819" t="s">
        <v>2222</v>
      </c>
      <c r="M66" s="819" t="str">
        <f ca="1"/>
        <v>Limit value of OAPC exceeded or input NOx is missing.</v>
      </c>
      <c r="N66" s="822" t="str">
        <f>IFERROR(IF(O66,"",M66),$M$8)</f>
        <v/>
      </c>
      <c r="O66" s="815" t="b">
        <f>IF(Q64&gt;1,AND(0&lt;H66,H66&lt;=400),TRUE)</f>
        <v>1</v>
      </c>
      <c r="R66" s="985">
        <f>7.57773723372344/21.46*(H66-1100)/1000000*Q64*3.6</f>
        <v>0</v>
      </c>
      <c r="S66" s="985"/>
      <c r="T66" s="985"/>
      <c r="U66" s="815" t="s">
        <v>846</v>
      </c>
      <c r="V66" s="869" cm="1">
        <f t="array" ref="V66">INDEX(SimaPro!$1:$1048576,V$3,MATCH(MainInput!$U66,SimaPro!$1:$1,0))*$R66</f>
        <v>0</v>
      </c>
      <c r="W66" s="869" cm="1">
        <f t="array" ref="W66">INDEX(SimaPro!$1:$1048576,W$3,MATCH(MainInput!$U66,SimaPro!$1:$1,0))*$R66</f>
        <v>0</v>
      </c>
      <c r="X66" s="869" cm="1">
        <f t="array" ref="X66">INDEX(SimaPro!$1:$1048576,X$3,MATCH(MainInput!$U66,SimaPro!$1:$1,0))*$R66</f>
        <v>0</v>
      </c>
      <c r="Y66" s="869" cm="1">
        <f t="array" ref="Y66">INDEX(SimaPro!$1:$1048576,Y$3,MATCH(MainInput!$U66,SimaPro!$1:$1,0))*$R66</f>
        <v>0</v>
      </c>
    </row>
    <row r="67" spans="1:30" ht="18" customHeight="1">
      <c r="A67" s="815">
        <v>55</v>
      </c>
      <c r="B67" s="819" t="s">
        <v>351</v>
      </c>
      <c r="C67" s="819" t="s">
        <v>2065</v>
      </c>
      <c r="D67" s="819" t="s">
        <v>2195</v>
      </c>
      <c r="E67" s="846" t="str">
        <f ca="1"/>
        <v>Total biogas use, gross</v>
      </c>
      <c r="G67" s="863" t="str">
        <f t="shared" ca="1" si="10"/>
        <v>Total biogas use, gross</v>
      </c>
      <c r="H67" s="837">
        <f>H62+H63+H64</f>
        <v>0</v>
      </c>
      <c r="I67" s="978">
        <f>IF(O67,1,-1)</f>
        <v>1</v>
      </c>
      <c r="J67" s="828" t="s">
        <v>2338</v>
      </c>
      <c r="K67" s="834" t="s">
        <v>2339</v>
      </c>
      <c r="L67" s="834" t="s">
        <v>2340</v>
      </c>
      <c r="M67" s="819" t="str">
        <f ca="1"/>
        <v>Amount of biogas and biomethane used exceeds the amount of biogas produced</v>
      </c>
      <c r="N67" s="822" t="str">
        <f>IFERROR(IF(O67,"",M67),$M$8)</f>
        <v/>
      </c>
      <c r="O67" s="815" t="b">
        <f>Q67&lt;=Q58</f>
        <v>1</v>
      </c>
      <c r="Q67" s="837">
        <f>Q62+Q63+Q64</f>
        <v>0</v>
      </c>
      <c r="R67" s="985"/>
      <c r="S67" s="985"/>
      <c r="T67" s="985"/>
      <c r="V67" s="867" cm="1">
        <f t="array" ref="V67">INDEX(SimaPro!$1:$1048576,V$3,MATCH(MainInput!$U67,SimaPro!$1:$1,0))*$R67*$H67</f>
        <v>0</v>
      </c>
      <c r="W67" s="867" cm="1">
        <f t="array" ref="W67">INDEX(SimaPro!$1:$1048576,W$3,MATCH(MainInput!$U67,SimaPro!$1:$1,0))*$R67*$H67</f>
        <v>0</v>
      </c>
      <c r="X67" s="867" cm="1">
        <f t="array" ref="X67">INDEX(SimaPro!$1:$1048576,X$3,MATCH(MainInput!$U67,SimaPro!$1:$1,0))*$R67*$H67</f>
        <v>0</v>
      </c>
      <c r="Y67" s="867" cm="1">
        <f t="array" ref="Y67">INDEX(SimaPro!$1:$1048576,Y$3,MATCH(MainInput!$U67,SimaPro!$1:$1,0))*$R67*$H67</f>
        <v>0</v>
      </c>
    </row>
    <row r="68" spans="1:30" ht="18" customHeight="1">
      <c r="B68" s="834" t="s">
        <v>352</v>
      </c>
      <c r="C68" s="834" t="s">
        <v>352</v>
      </c>
      <c r="D68" s="834" t="s">
        <v>352</v>
      </c>
      <c r="E68" s="846" t="str">
        <f ca="1"/>
        <v/>
      </c>
      <c r="G68" s="819"/>
      <c r="I68" s="846"/>
      <c r="J68" s="825"/>
      <c r="K68" s="819"/>
      <c r="L68" s="819"/>
      <c r="M68" s="819">
        <f ca="1"/>
        <v>0</v>
      </c>
      <c r="N68" s="822"/>
      <c r="O68" s="824" t="s">
        <v>352</v>
      </c>
      <c r="Q68" s="989"/>
      <c r="R68" s="985">
        <v>1</v>
      </c>
      <c r="S68" s="985"/>
      <c r="T68" s="985"/>
      <c r="V68" s="867" cm="1">
        <f t="array" ref="V68">INDEX(SimaPro!$1:$1048576,V$3,MATCH(MainInput!$U68,SimaPro!$1:$1,0))*$R68*$H68</f>
        <v>0</v>
      </c>
      <c r="W68" s="867" cm="1">
        <f t="array" ref="W68">INDEX(SimaPro!$1:$1048576,W$3,MATCH(MainInput!$U68,SimaPro!$1:$1,0))*$R68*$H68</f>
        <v>0</v>
      </c>
      <c r="X68" s="867" cm="1">
        <f t="array" ref="X68">INDEX(SimaPro!$1:$1048576,X$3,MATCH(MainInput!$U68,SimaPro!$1:$1,0))*$R68*$H68</f>
        <v>0</v>
      </c>
      <c r="Y68" s="867" cm="1">
        <f t="array" ref="Y68">INDEX(SimaPro!$1:$1048576,Y$3,MATCH(MainInput!$U68,SimaPro!$1:$1,0))*$R68*$H68</f>
        <v>0</v>
      </c>
    </row>
    <row r="69" spans="1:30" ht="18" customHeight="1">
      <c r="B69" s="819" t="s">
        <v>2064</v>
      </c>
      <c r="C69" s="819" t="s">
        <v>1998</v>
      </c>
      <c r="D69" s="819" t="s">
        <v>1999</v>
      </c>
      <c r="E69" s="846" t="str">
        <f ca="1"/>
        <v>Electricity</v>
      </c>
      <c r="G69" s="980" t="str">
        <f ca="1">E69</f>
        <v>Electricity</v>
      </c>
      <c r="H69" s="835" t="s">
        <v>1190</v>
      </c>
      <c r="I69" s="982"/>
      <c r="J69" s="825"/>
      <c r="K69" s="819"/>
      <c r="L69" s="819"/>
      <c r="M69" s="819">
        <f ca="1"/>
        <v>0</v>
      </c>
      <c r="N69" s="822"/>
      <c r="O69" s="824" t="s">
        <v>352</v>
      </c>
      <c r="Q69" s="989"/>
      <c r="R69" s="985">
        <v>1</v>
      </c>
      <c r="S69" s="985"/>
      <c r="T69" s="985"/>
      <c r="V69" s="867" t="e" cm="1">
        <f t="array" ref="V69">INDEX(SimaPro!$1:$1048576,V$3,MATCH(MainInput!$U69,SimaPro!$1:$1,0))*$R69*$H69</f>
        <v>#VALUE!</v>
      </c>
      <c r="W69" s="867" t="e" cm="1">
        <f t="array" ref="W69">INDEX(SimaPro!$1:$1048576,W$3,MATCH(MainInput!$U69,SimaPro!$1:$1,0))*$R69*$H69</f>
        <v>#VALUE!</v>
      </c>
      <c r="X69" s="867" t="e" cm="1">
        <f t="array" ref="X69">INDEX(SimaPro!$1:$1048576,X$3,MATCH(MainInput!$U69,SimaPro!$1:$1,0))*$R69*$H69</f>
        <v>#VALUE!</v>
      </c>
      <c r="Y69" s="867" t="e" cm="1">
        <f t="array" ref="Y69">INDEX(SimaPro!$1:$1048576,Y$3,MATCH(MainInput!$U69,SimaPro!$1:$1,0))*$R69*$H69</f>
        <v>#VALUE!</v>
      </c>
    </row>
    <row r="70" spans="1:30" ht="18" customHeight="1">
      <c r="A70" s="815">
        <v>99</v>
      </c>
      <c r="B70" s="819" t="s">
        <v>1869</v>
      </c>
      <c r="C70" s="846" t="s">
        <v>484</v>
      </c>
      <c r="D70" s="846" t="s">
        <v>1604</v>
      </c>
      <c r="E70" s="846" t="str">
        <f ca="1"/>
        <v>Total production electricity, gross</v>
      </c>
      <c r="G70" s="983" t="str">
        <f ca="1">E70</f>
        <v>Total production electricity, gross</v>
      </c>
      <c r="H70" s="810"/>
      <c r="I70" s="998">
        <f>IF(AND(H64=0,H70=0),1,IF(AND(H64&gt;0,H70=0,BHKW=5),1,IF(AND(H64&gt;0,H70=0,NOT(BHKW=5)),-1,IF(AND(H64&gt;0,H64&gt;=H70,H70&gt;0),1,-1))))</f>
        <v>1</v>
      </c>
      <c r="J70" s="825" t="s">
        <v>2437</v>
      </c>
      <c r="K70" s="834" t="s">
        <v>2439</v>
      </c>
      <c r="L70" s="834" t="s">
        <v>2438</v>
      </c>
      <c r="M70" s="819" t="str">
        <f ca="1"/>
        <v>Electricity production missing or electricity production larger than biogas use in CHP unit</v>
      </c>
      <c r="N70" s="822" t="str">
        <f>IFERROR(IF(O70,"",M70),$M$8)</f>
        <v/>
      </c>
      <c r="O70" s="824" t="b">
        <f>NOT(I70=-1)</f>
        <v>1</v>
      </c>
      <c r="P70" s="821" t="e">
        <f>Q70/Q64</f>
        <v>#DIV/0!</v>
      </c>
      <c r="Q70" s="984">
        <f>H70</f>
        <v>0</v>
      </c>
      <c r="R70" s="985">
        <v>1</v>
      </c>
      <c r="S70" s="985"/>
      <c r="T70" s="985"/>
      <c r="V70" s="867" cm="1">
        <f t="array" ref="V70">INDEX(SimaPro!$1:$1048576,V$3,MATCH(MainInput!$U70,SimaPro!$1:$1,0))*$R70*$H70</f>
        <v>0</v>
      </c>
      <c r="W70" s="867" cm="1">
        <f t="array" ref="W70">INDEX(SimaPro!$1:$1048576,W$3,MATCH(MainInput!$U70,SimaPro!$1:$1,0))*$R70*$H70</f>
        <v>0</v>
      </c>
      <c r="X70" s="867" cm="1">
        <f t="array" ref="X70">INDEX(SimaPro!$1:$1048576,X$3,MATCH(MainInput!$U70,SimaPro!$1:$1,0))*$R70*$H70</f>
        <v>0</v>
      </c>
      <c r="Y70" s="867" cm="1">
        <f t="array" ref="Y70">INDEX(SimaPro!$1:$1048576,Y$3,MATCH(MainInput!$U70,SimaPro!$1:$1,0))*$R70*$H70</f>
        <v>0</v>
      </c>
    </row>
    <row r="71" spans="1:30" ht="18" customHeight="1">
      <c r="B71" s="819" t="s">
        <v>1994</v>
      </c>
      <c r="C71" s="819" t="s">
        <v>1995</v>
      </c>
      <c r="D71" s="819" t="s">
        <v>1996</v>
      </c>
      <c r="E71" s="846" t="str">
        <f ca="1"/>
        <v>Electrical efficiency</v>
      </c>
      <c r="G71" s="819" t="str">
        <f ca="1">E71</f>
        <v>Electrical efficiency</v>
      </c>
      <c r="H71" s="999">
        <f>IF(H64&gt;0,ROUND(H70/H64*100,0),0)/100</f>
        <v>0</v>
      </c>
      <c r="I71" s="1000"/>
      <c r="J71" s="825"/>
      <c r="K71" s="834"/>
      <c r="L71" s="834"/>
      <c r="M71" s="819">
        <f ca="1"/>
        <v>0</v>
      </c>
      <c r="N71" s="822"/>
      <c r="O71" s="824" t="s">
        <v>352</v>
      </c>
      <c r="P71" s="821"/>
      <c r="Q71" s="984"/>
      <c r="R71" s="985">
        <v>1</v>
      </c>
      <c r="S71" s="985"/>
      <c r="T71" s="985"/>
      <c r="V71" s="867" cm="1">
        <f t="array" ref="V71">INDEX(SimaPro!$1:$1048576,V$3,MATCH(MainInput!$U71,SimaPro!$1:$1,0))*$R71*$H71</f>
        <v>0</v>
      </c>
      <c r="W71" s="867" cm="1">
        <f t="array" ref="W71">INDEX(SimaPro!$1:$1048576,W$3,MATCH(MainInput!$U71,SimaPro!$1:$1,0))*$R71*$H71</f>
        <v>0</v>
      </c>
      <c r="X71" s="867" cm="1">
        <f t="array" ref="X71">INDEX(SimaPro!$1:$1048576,X$3,MATCH(MainInput!$U71,SimaPro!$1:$1,0))*$R71*$H71</f>
        <v>0</v>
      </c>
      <c r="Y71" s="867" cm="1">
        <f t="array" ref="Y71">INDEX(SimaPro!$1:$1048576,Y$3,MATCH(MainInput!$U71,SimaPro!$1:$1,0))*$R71*$H71</f>
        <v>0</v>
      </c>
    </row>
    <row r="72" spans="1:30" ht="18" customHeight="1">
      <c r="A72" s="815">
        <v>100</v>
      </c>
      <c r="B72" s="819" t="s">
        <v>1870</v>
      </c>
      <c r="C72" s="819" t="s">
        <v>483</v>
      </c>
      <c r="D72" s="819" t="s">
        <v>1605</v>
      </c>
      <c r="E72" s="846" t="str">
        <f ca="1"/>
        <v>Internal consumption of the plant from gross electricity production</v>
      </c>
      <c r="G72" s="819" t="str">
        <f ca="1">E72</f>
        <v>Internal consumption of the plant from gross electricity production</v>
      </c>
      <c r="H72" s="810"/>
      <c r="I72" s="949">
        <f>IF(H72&gt;H70,-1,1)</f>
        <v>1</v>
      </c>
      <c r="J72" s="828" t="s">
        <v>2341</v>
      </c>
      <c r="K72" s="834" t="s">
        <v>2342</v>
      </c>
      <c r="L72" s="834" t="s">
        <v>2460</v>
      </c>
      <c r="M72" s="819" t="str">
        <f ca="1"/>
        <v>Own consumption of electricity greater than electricity production</v>
      </c>
      <c r="N72" s="822" t="str">
        <f>IF(I72=-1,M72,"")</f>
        <v/>
      </c>
      <c r="O72" s="824" t="s">
        <v>352</v>
      </c>
      <c r="Q72" s="984">
        <f>H72</f>
        <v>0</v>
      </c>
      <c r="R72" s="985">
        <v>1</v>
      </c>
      <c r="S72" s="985"/>
      <c r="T72" s="985"/>
      <c r="V72" s="867" cm="1">
        <f t="array" ref="V72">INDEX(SimaPro!$1:$1048576,V$3,MATCH(MainInput!$U72,SimaPro!$1:$1,0))*$R72*$H72</f>
        <v>0</v>
      </c>
      <c r="W72" s="867" cm="1">
        <f t="array" ref="W72">INDEX(SimaPro!$1:$1048576,W$3,MATCH(MainInput!$U72,SimaPro!$1:$1,0))*$R72*$H72</f>
        <v>0</v>
      </c>
      <c r="X72" s="867" cm="1">
        <f t="array" ref="X72">INDEX(SimaPro!$1:$1048576,X$3,MATCH(MainInput!$U72,SimaPro!$1:$1,0))*$R72*$H72</f>
        <v>0</v>
      </c>
      <c r="Y72" s="867" cm="1">
        <f t="array" ref="Y72">INDEX(SimaPro!$1:$1048576,Y$3,MATCH(MainInput!$U72,SimaPro!$1:$1,0))*$R72*$H72</f>
        <v>0</v>
      </c>
    </row>
    <row r="73" spans="1:30" ht="18" customHeight="1">
      <c r="A73" s="815">
        <v>14</v>
      </c>
      <c r="B73" s="819" t="s">
        <v>372</v>
      </c>
      <c r="C73" s="819" t="s">
        <v>1997</v>
      </c>
      <c r="D73" s="819" t="s">
        <v>1199</v>
      </c>
      <c r="E73" s="846" t="str">
        <f ca="1"/>
        <v>Electricity: sale and consumption outside the plant</v>
      </c>
      <c r="G73" s="819" t="str">
        <f ca="1">E73</f>
        <v>Electricity: sale and consumption outside the plant</v>
      </c>
      <c r="H73" s="810"/>
      <c r="I73" s="949">
        <f>IF(O73,1,-1)</f>
        <v>1</v>
      </c>
      <c r="J73" s="825" t="s">
        <v>2343</v>
      </c>
      <c r="K73" s="819" t="s">
        <v>2344</v>
      </c>
      <c r="L73" s="819" t="s">
        <v>2345</v>
      </c>
      <c r="M73" s="819" t="str">
        <f ca="1"/>
        <v>Check ratio of electricity sales and consumption to electricity production</v>
      </c>
      <c r="N73" s="822" t="str">
        <f>IFERROR(IF(O73,"",M73),$M$8)</f>
        <v/>
      </c>
      <c r="O73" s="824" t="b">
        <f>AND((Q70-Q72-Q73)&lt;=Q70*0.2,(Q70-Q72-Q73)&gt;=0)</f>
        <v>1</v>
      </c>
      <c r="Q73" s="984">
        <f>H73</f>
        <v>0</v>
      </c>
      <c r="R73" s="985">
        <v>1</v>
      </c>
      <c r="S73" s="985"/>
      <c r="T73" s="985"/>
      <c r="V73" s="867" cm="1">
        <f t="array" ref="V73">INDEX(SimaPro!$1:$1048576,V$3,MATCH(MainInput!$U73,SimaPro!$1:$1,0))*$R73*$H73</f>
        <v>0</v>
      </c>
      <c r="W73" s="867" cm="1">
        <f t="array" ref="W73">INDEX(SimaPro!$1:$1048576,W$3,MATCH(MainInput!$U73,SimaPro!$1:$1,0))*$R73*$H73</f>
        <v>0</v>
      </c>
      <c r="X73" s="867" cm="1">
        <f t="array" ref="X73">INDEX(SimaPro!$1:$1048576,X$3,MATCH(MainInput!$U73,SimaPro!$1:$1,0))*$R73*$H73</f>
        <v>0</v>
      </c>
      <c r="Y73" s="867" cm="1">
        <f t="array" ref="Y73">INDEX(SimaPro!$1:$1048576,Y$3,MATCH(MainInput!$U73,SimaPro!$1:$1,0))*$R73*$H73</f>
        <v>0</v>
      </c>
      <c r="Z73" s="997" t="s">
        <v>61</v>
      </c>
      <c r="AA73" s="867" cm="1">
        <f t="array" ref="AA73">INDEX(SimaPro!$1:$1048576,AA$3,MATCH(MainInput!$Z73,SimaPro!$1:$1,0))*$R73*$H73</f>
        <v>0</v>
      </c>
      <c r="AB73" s="867" cm="1">
        <f t="array" ref="AB73">INDEX(SimaPro!$1:$1048576,AB$3,MATCH(MainInput!$Z73,SimaPro!$1:$1,0))*$R73*$H73</f>
        <v>0</v>
      </c>
      <c r="AC73" s="867" cm="1">
        <f t="array" ref="AC73">INDEX(SimaPro!$1:$1048576,AC$3,MATCH(MainInput!$Z73,SimaPro!$1:$1,0))*$R73*$H73</f>
        <v>0</v>
      </c>
      <c r="AD73" s="867" cm="1">
        <f t="array" ref="AD73">INDEX(SimaPro!$1:$1048576,AD$3,MATCH(MainInput!$Z73,SimaPro!$1:$1,0))*$R73*$H73</f>
        <v>0</v>
      </c>
    </row>
    <row r="74" spans="1:30" ht="18" customHeight="1">
      <c r="B74" s="834" t="s">
        <v>352</v>
      </c>
      <c r="C74" s="834" t="s">
        <v>352</v>
      </c>
      <c r="D74" s="834" t="s">
        <v>352</v>
      </c>
      <c r="E74" s="846" t="str">
        <f ca="1"/>
        <v/>
      </c>
      <c r="G74" s="819"/>
      <c r="H74" s="984"/>
      <c r="I74" s="836"/>
      <c r="J74" s="825"/>
      <c r="K74" s="819"/>
      <c r="L74" s="819"/>
      <c r="M74" s="819">
        <f ca="1"/>
        <v>0</v>
      </c>
      <c r="N74" s="822"/>
      <c r="O74" s="824" t="s">
        <v>352</v>
      </c>
      <c r="Q74" s="984"/>
      <c r="R74" s="985">
        <v>1</v>
      </c>
      <c r="S74" s="985"/>
      <c r="T74" s="985"/>
      <c r="V74" s="867" cm="1">
        <f t="array" ref="V74">INDEX(SimaPro!$1:$1048576,V$3,MATCH(MainInput!$U74,SimaPro!$1:$1,0))*$R74*$H74</f>
        <v>0</v>
      </c>
      <c r="W74" s="867" cm="1">
        <f t="array" ref="W74">INDEX(SimaPro!$1:$1048576,W$3,MATCH(MainInput!$U74,SimaPro!$1:$1,0))*$R74*$H74</f>
        <v>0</v>
      </c>
      <c r="X74" s="867" cm="1">
        <f t="array" ref="X74">INDEX(SimaPro!$1:$1048576,X$3,MATCH(MainInput!$U74,SimaPro!$1:$1,0))*$R74*$H74</f>
        <v>0</v>
      </c>
      <c r="Y74" s="867" cm="1">
        <f t="array" ref="Y74">INDEX(SimaPro!$1:$1048576,Y$3,MATCH(MainInput!$U74,SimaPro!$1:$1,0))*$R74*$H74</f>
        <v>0</v>
      </c>
    </row>
    <row r="75" spans="1:30" ht="18" customHeight="1">
      <c r="B75" s="819" t="s">
        <v>1844</v>
      </c>
      <c r="C75" s="819" t="s">
        <v>2013</v>
      </c>
      <c r="D75" s="819" t="s">
        <v>2014</v>
      </c>
      <c r="E75" s="846" t="str">
        <f ca="1"/>
        <v>Heat</v>
      </c>
      <c r="G75" s="980" t="str">
        <f ca="1">E75</f>
        <v>Heat</v>
      </c>
      <c r="H75" s="835" t="s">
        <v>1190</v>
      </c>
      <c r="I75" s="982"/>
      <c r="J75" s="825"/>
      <c r="K75" s="819"/>
      <c r="L75" s="819"/>
      <c r="M75" s="819">
        <f ca="1"/>
        <v>0</v>
      </c>
      <c r="N75" s="822"/>
      <c r="O75" s="824" t="s">
        <v>352</v>
      </c>
      <c r="Q75" s="984"/>
      <c r="R75" s="985">
        <v>1</v>
      </c>
      <c r="S75" s="985"/>
      <c r="T75" s="985"/>
      <c r="V75" s="867" t="e" cm="1">
        <f t="array" ref="V75">INDEX(SimaPro!$1:$1048576,V$3,MATCH(MainInput!$U75,SimaPro!$1:$1,0))*$R75*$H75</f>
        <v>#VALUE!</v>
      </c>
      <c r="W75" s="867" t="e" cm="1">
        <f t="array" ref="W75">INDEX(SimaPro!$1:$1048576,W$3,MATCH(MainInput!$U75,SimaPro!$1:$1,0))*$R75*$H75</f>
        <v>#VALUE!</v>
      </c>
      <c r="X75" s="867" t="e" cm="1">
        <f t="array" ref="X75">INDEX(SimaPro!$1:$1048576,X$3,MATCH(MainInput!$U75,SimaPro!$1:$1,0))*$R75*$H75</f>
        <v>#VALUE!</v>
      </c>
      <c r="Y75" s="867" t="e" cm="1">
        <f t="array" ref="Y75">INDEX(SimaPro!$1:$1048576,Y$3,MATCH(MainInput!$U75,SimaPro!$1:$1,0))*$R75*$H75</f>
        <v>#VALUE!</v>
      </c>
    </row>
    <row r="76" spans="1:30" ht="18" customHeight="1">
      <c r="A76" s="815">
        <v>32</v>
      </c>
      <c r="B76" s="819" t="s">
        <v>2449</v>
      </c>
      <c r="C76" s="819" t="s">
        <v>2010</v>
      </c>
      <c r="D76" s="1066" t="s">
        <v>2450</v>
      </c>
      <c r="E76" s="846" t="str">
        <f ca="1"/>
        <v xml:space="preserve">Feeding into district heating network
</v>
      </c>
      <c r="G76" s="983" t="str">
        <f ca="1">E76</f>
        <v xml:space="preserve">Feeding into district heating network
</v>
      </c>
      <c r="H76" s="810"/>
      <c r="I76" s="1000"/>
      <c r="J76" s="825"/>
      <c r="K76" s="819"/>
      <c r="L76" s="819"/>
      <c r="M76" s="819">
        <f ca="1"/>
        <v>0</v>
      </c>
      <c r="N76" s="822" t="str">
        <f>IFERROR(IF(O77,"",M76),$M$8)</f>
        <v/>
      </c>
      <c r="O76" s="824" t="s">
        <v>352</v>
      </c>
      <c r="Q76" s="984">
        <f>H76</f>
        <v>0</v>
      </c>
      <c r="R76" s="985">
        <v>1</v>
      </c>
      <c r="S76" s="985"/>
      <c r="T76" s="985"/>
      <c r="U76" s="815" t="s">
        <v>9</v>
      </c>
      <c r="V76" s="869" cm="1">
        <f t="array" ref="V76">INDEX(SimaPro!$1:$1048576,V$3,MATCH(MainInput!$U76,SimaPro!$1:$1,0))*$R76*$H76</f>
        <v>0</v>
      </c>
      <c r="W76" s="869" cm="1">
        <f t="array" ref="W76">INDEX(SimaPro!$1:$1048576,W$3,MATCH(MainInput!$U76,SimaPro!$1:$1,0))*$R76*$H76</f>
        <v>0</v>
      </c>
      <c r="X76" s="869" cm="1">
        <f t="array" ref="X76">INDEX(SimaPro!$1:$1048576,X$3,MATCH(MainInput!$U76,SimaPro!$1:$1,0))*$R76*$H76</f>
        <v>0</v>
      </c>
      <c r="Y76" s="869" cm="1">
        <f t="array" ref="Y76">INDEX(SimaPro!$1:$1048576,Y$3,MATCH(MainInput!$U76,SimaPro!$1:$1,0))*$R76*$H76</f>
        <v>0</v>
      </c>
    </row>
    <row r="77" spans="1:30" ht="18" customHeight="1">
      <c r="B77" s="819" t="s">
        <v>2455</v>
      </c>
      <c r="C77" s="819" t="s">
        <v>2456</v>
      </c>
      <c r="D77" s="819" t="s">
        <v>2451</v>
      </c>
      <c r="E77" s="846" t="str">
        <f ca="1"/>
        <v>Distribution losses district heating network</v>
      </c>
      <c r="G77" s="819" t="str">
        <f ca="1">E77</f>
        <v>Distribution losses district heating network</v>
      </c>
      <c r="H77" s="812"/>
      <c r="I77" s="949">
        <f>IF(O77,1,-1)</f>
        <v>1</v>
      </c>
      <c r="J77" s="825" t="s">
        <v>2454</v>
      </c>
      <c r="K77" s="819" t="s">
        <v>2453</v>
      </c>
      <c r="L77" s="825" t="s">
        <v>2452</v>
      </c>
      <c r="M77" s="819" t="str">
        <f ca="1"/>
        <v>Default distribution losses in district heating network: 10%</v>
      </c>
      <c r="N77" s="822" t="str">
        <f ca="1">IF(H77=10%,"",M77)</f>
        <v>Default distribution losses in district heating network: 10%</v>
      </c>
      <c r="O77" s="815" t="b">
        <f>H77&lt;20%</f>
        <v>1</v>
      </c>
      <c r="Q77" s="984"/>
      <c r="R77" s="985">
        <v>1</v>
      </c>
      <c r="S77" s="985"/>
      <c r="T77" s="985"/>
      <c r="V77" s="867" cm="1">
        <f t="array" ref="V77">INDEX(SimaPro!$1:$1048576,V$3,MATCH(MainInput!$U77,SimaPro!$1:$1,0))*$R77*$H77</f>
        <v>0</v>
      </c>
      <c r="W77" s="867" cm="1">
        <f t="array" ref="W77">INDEX(SimaPro!$1:$1048576,W$3,MATCH(MainInput!$U77,SimaPro!$1:$1,0))*$R77*$H77</f>
        <v>0</v>
      </c>
      <c r="X77" s="867" cm="1">
        <f t="array" ref="X77">INDEX(SimaPro!$1:$1048576,X$3,MATCH(MainInput!$U77,SimaPro!$1:$1,0))*$R77*$H77</f>
        <v>0</v>
      </c>
      <c r="Y77" s="867" cm="1">
        <f t="array" ref="Y77">INDEX(SimaPro!$1:$1048576,Y$3,MATCH(MainInput!$U77,SimaPro!$1:$1,0))*$R77*$H77</f>
        <v>0</v>
      </c>
    </row>
    <row r="78" spans="1:30" ht="18" customHeight="1">
      <c r="A78" s="815">
        <v>43</v>
      </c>
      <c r="B78" s="819" t="s">
        <v>2011</v>
      </c>
      <c r="C78" s="819" t="s">
        <v>2012</v>
      </c>
      <c r="D78" s="819" t="s">
        <v>1215</v>
      </c>
      <c r="E78" s="846" t="str">
        <f ca="1"/>
        <v>Local heat utilisation: sale, consumption in the vicinity of the plant</v>
      </c>
      <c r="G78" s="819" t="str">
        <f ca="1">E78</f>
        <v>Local heat utilisation: sale, consumption in the vicinity of the plant</v>
      </c>
      <c r="H78" s="813"/>
      <c r="I78" s="978"/>
      <c r="J78" s="825" t="s">
        <v>2457</v>
      </c>
      <c r="K78" s="819" t="s">
        <v>2458</v>
      </c>
      <c r="L78" s="819" t="s">
        <v>2459</v>
      </c>
      <c r="M78" s="819" t="str">
        <f ca="1"/>
        <v>Do not enter own heat consumption</v>
      </c>
      <c r="N78" s="822" t="str">
        <f>IF(H78=0,"",M78)</f>
        <v/>
      </c>
      <c r="O78" s="822"/>
      <c r="Q78" s="984">
        <f>H78</f>
        <v>0</v>
      </c>
      <c r="R78" s="985">
        <v>1</v>
      </c>
      <c r="S78" s="985"/>
      <c r="T78" s="985"/>
      <c r="V78" s="867" cm="1">
        <f t="array" ref="V78">INDEX(SimaPro!$1:$1048576,V$3,MATCH(MainInput!$U78,SimaPro!$1:$1,0))*$R78*$H78</f>
        <v>0</v>
      </c>
      <c r="W78" s="867" cm="1">
        <f t="array" ref="W78">INDEX(SimaPro!$1:$1048576,W$3,MATCH(MainInput!$U78,SimaPro!$1:$1,0))*$R78*$H78</f>
        <v>0</v>
      </c>
      <c r="X78" s="867" cm="1">
        <f t="array" ref="X78">INDEX(SimaPro!$1:$1048576,X$3,MATCH(MainInput!$U78,SimaPro!$1:$1,0))*$R78*$H78</f>
        <v>0</v>
      </c>
      <c r="Y78" s="867" cm="1">
        <f t="array" ref="Y78">INDEX(SimaPro!$1:$1048576,Y$3,MATCH(MainInput!$U78,SimaPro!$1:$1,0))*$R78*$H78</f>
        <v>0</v>
      </c>
    </row>
    <row r="79" spans="1:30" ht="18" customHeight="1">
      <c r="A79" s="815">
        <v>62</v>
      </c>
      <c r="B79" s="819" t="s">
        <v>395</v>
      </c>
      <c r="C79" s="819" t="s">
        <v>771</v>
      </c>
      <c r="D79" s="819" t="s">
        <v>1219</v>
      </c>
      <c r="E79" s="846" t="str">
        <f ca="1"/>
        <v>Total heat sales (after deduction of distribution losses)</v>
      </c>
      <c r="G79" s="863" t="str">
        <f ca="1">E79</f>
        <v>Total heat sales (after deduction of distribution losses)</v>
      </c>
      <c r="H79" s="832">
        <f>H78+H76*(1-H77)</f>
        <v>0</v>
      </c>
      <c r="I79" s="978">
        <f>IF(O79,1,-1)</f>
        <v>1</v>
      </c>
      <c r="J79" s="825" t="s">
        <v>1977</v>
      </c>
      <c r="K79" s="819" t="s">
        <v>1978</v>
      </c>
      <c r="L79" s="819" t="s">
        <v>1979</v>
      </c>
      <c r="M79" s="819" t="str">
        <f ca="1"/>
        <v>Electricity and heat production is greater than biogas in CHP unit</v>
      </c>
      <c r="N79" s="822" t="str">
        <f>IFERROR(IF(O79,"",M79),$M$8)</f>
        <v/>
      </c>
      <c r="O79" s="815" t="b">
        <f>(Q73+SUM(Q76:Q78))&lt;=Q64/R64</f>
        <v>1</v>
      </c>
      <c r="Q79" s="984">
        <f>H79</f>
        <v>0</v>
      </c>
      <c r="R79" s="985">
        <v>1</v>
      </c>
      <c r="S79" s="985"/>
      <c r="T79" s="985"/>
      <c r="V79" s="867" cm="1">
        <f t="array" ref="V79">INDEX(SimaPro!$1:$1048576,V$3,MATCH(MainInput!$U79,SimaPro!$1:$1,0))*$R79*$H79</f>
        <v>0</v>
      </c>
      <c r="W79" s="867" cm="1">
        <f t="array" ref="W79">INDEX(SimaPro!$1:$1048576,W$3,MATCH(MainInput!$U79,SimaPro!$1:$1,0))*$R79*$H79</f>
        <v>0</v>
      </c>
      <c r="X79" s="867" cm="1">
        <f t="array" ref="X79">INDEX(SimaPro!$1:$1048576,X$3,MATCH(MainInput!$U79,SimaPro!$1:$1,0))*$R79*$H79</f>
        <v>0</v>
      </c>
      <c r="Y79" s="867" cm="1">
        <f t="array" ref="Y79">INDEX(SimaPro!$1:$1048576,Y$3,MATCH(MainInput!$U79,SimaPro!$1:$1,0))*$R79*$H79</f>
        <v>0</v>
      </c>
      <c r="Z79" s="997" t="s">
        <v>60</v>
      </c>
      <c r="AA79" s="867" cm="1">
        <f t="array" ref="AA79">INDEX(SimaPro!$1:$1048576,AA$3,MATCH(MainInput!$Z79,SimaPro!$1:$1,0))*$R79*$H79</f>
        <v>0</v>
      </c>
      <c r="AB79" s="867" cm="1">
        <f t="array" ref="AB79">INDEX(SimaPro!$1:$1048576,AB$3,MATCH(MainInput!$Z79,SimaPro!$1:$1,0))*$R79*$H79</f>
        <v>0</v>
      </c>
      <c r="AC79" s="867" cm="1">
        <f t="array" ref="AC79">INDEX(SimaPro!$1:$1048576,AC$3,MATCH(MainInput!$Z79,SimaPro!$1:$1,0))*$R79*$H79</f>
        <v>0</v>
      </c>
      <c r="AD79" s="867" cm="1">
        <f t="array" ref="AD79">INDEX(SimaPro!$1:$1048576,AD$3,MATCH(MainInput!$Z79,SimaPro!$1:$1,0))*$R79*$H79</f>
        <v>0</v>
      </c>
    </row>
    <row r="80" spans="1:30" ht="18" customHeight="1">
      <c r="B80" s="834" t="s">
        <v>352</v>
      </c>
      <c r="C80" s="834" t="s">
        <v>352</v>
      </c>
      <c r="D80" s="834" t="s">
        <v>352</v>
      </c>
      <c r="E80" s="846" t="str">
        <f ca="1"/>
        <v/>
      </c>
      <c r="G80" s="819"/>
      <c r="H80" s="819"/>
      <c r="I80" s="819"/>
      <c r="J80" s="833"/>
      <c r="K80" s="834"/>
      <c r="L80" s="834"/>
      <c r="M80" s="819">
        <f ca="1"/>
        <v>0</v>
      </c>
      <c r="N80" s="822"/>
      <c r="O80" s="824" t="s">
        <v>352</v>
      </c>
      <c r="P80" s="821" t="e">
        <f>H81/H58</f>
        <v>#DIV/0!</v>
      </c>
      <c r="Q80" s="984"/>
      <c r="R80" s="985">
        <v>1</v>
      </c>
      <c r="S80" s="985"/>
      <c r="T80" s="985"/>
      <c r="V80" s="867" cm="1">
        <f t="array" ref="V80">INDEX(SimaPro!$1:$1048576,V$3,MATCH(MainInput!$U80,SimaPro!$1:$1,0))*$R80*$H80</f>
        <v>0</v>
      </c>
      <c r="W80" s="867" cm="1">
        <f t="array" ref="W80">INDEX(SimaPro!$1:$1048576,W$3,MATCH(MainInput!$U80,SimaPro!$1:$1,0))*$R80*$H80</f>
        <v>0</v>
      </c>
      <c r="X80" s="867" cm="1">
        <f t="array" ref="X80">INDEX(SimaPro!$1:$1048576,X$3,MATCH(MainInput!$U80,SimaPro!$1:$1,0))*$R80*$H80</f>
        <v>0</v>
      </c>
      <c r="Y80" s="867" cm="1">
        <f t="array" ref="Y80">INDEX(SimaPro!$1:$1048576,Y$3,MATCH(MainInput!$U80,SimaPro!$1:$1,0))*$R80*$H80</f>
        <v>0</v>
      </c>
    </row>
    <row r="81" spans="1:30" ht="18" customHeight="1">
      <c r="A81" s="815">
        <v>102</v>
      </c>
      <c r="B81" s="819" t="s">
        <v>1871</v>
      </c>
      <c r="C81" s="846" t="s">
        <v>416</v>
      </c>
      <c r="D81" s="846" t="s">
        <v>1239</v>
      </c>
      <c r="E81" s="846" t="str">
        <f ca="1"/>
        <v>Total quantity of energy products</v>
      </c>
      <c r="G81" s="980" t="str">
        <f ca="1">E81</f>
        <v>Total quantity of energy products</v>
      </c>
      <c r="H81" s="835">
        <f>H79+H62+H73+H63</f>
        <v>0</v>
      </c>
      <c r="I81" s="949">
        <f>IF(H81=0,0,IF(O81,1,-1))</f>
        <v>0</v>
      </c>
      <c r="J81" s="825" t="s">
        <v>1980</v>
      </c>
      <c r="K81" s="819" t="s">
        <v>1815</v>
      </c>
      <c r="L81" s="819" t="s">
        <v>1819</v>
      </c>
      <c r="M81" s="819" t="str">
        <f ca="1"/>
        <v>Energy efficiency of biogas use &gt;1</v>
      </c>
      <c r="N81" s="822" t="str">
        <f>IF(H81=0,"",IFERROR(IF(O81,"",M81),$M$8))</f>
        <v/>
      </c>
      <c r="O81" s="824" t="b">
        <f>IFERROR(P81&lt;1,FALSE)</f>
        <v>0</v>
      </c>
      <c r="P81" s="821" t="e">
        <f>Q81/Q58</f>
        <v>#DIV/0!</v>
      </c>
      <c r="Q81" s="831">
        <f>Q79+Q62+Q73+Q63</f>
        <v>0</v>
      </c>
      <c r="R81" s="985">
        <v>1</v>
      </c>
      <c r="S81" s="985"/>
      <c r="T81" s="985"/>
      <c r="V81" s="867" cm="1">
        <f t="array" ref="V81">INDEX(SimaPro!$1:$1048576,V$3,MATCH(MainInput!$U81,SimaPro!$1:$1,0))*$R81*$H81</f>
        <v>0</v>
      </c>
      <c r="W81" s="867" cm="1">
        <f t="array" ref="W81">INDEX(SimaPro!$1:$1048576,W$3,MATCH(MainInput!$U81,SimaPro!$1:$1,0))*$R81*$H81</f>
        <v>0</v>
      </c>
      <c r="X81" s="867" cm="1">
        <f t="array" ref="X81">INDEX(SimaPro!$1:$1048576,X$3,MATCH(MainInput!$U81,SimaPro!$1:$1,0))*$R81*$H81</f>
        <v>0</v>
      </c>
      <c r="Y81" s="867" cm="1">
        <f t="array" ref="Y81">INDEX(SimaPro!$1:$1048576,Y$3,MATCH(MainInput!$U81,SimaPro!$1:$1,0))*$R81*$H81</f>
        <v>0</v>
      </c>
    </row>
    <row r="82" spans="1:30" ht="18" customHeight="1">
      <c r="B82" s="834" t="s">
        <v>352</v>
      </c>
      <c r="C82" s="834" t="s">
        <v>352</v>
      </c>
      <c r="D82" s="834" t="s">
        <v>352</v>
      </c>
      <c r="E82" s="846" t="str">
        <f ca="1"/>
        <v/>
      </c>
      <c r="G82" s="994"/>
      <c r="H82" s="831"/>
      <c r="I82" s="821"/>
      <c r="J82" s="825"/>
      <c r="K82" s="819"/>
      <c r="L82" s="819"/>
      <c r="M82" s="819">
        <f ca="1"/>
        <v>0</v>
      </c>
      <c r="N82" s="822"/>
      <c r="O82" s="824" t="s">
        <v>352</v>
      </c>
      <c r="P82" s="821"/>
      <c r="Q82" s="831"/>
      <c r="R82" s="985">
        <v>1</v>
      </c>
      <c r="S82" s="985"/>
      <c r="T82" s="985"/>
      <c r="V82" s="867" cm="1">
        <f t="array" ref="V82">INDEX(SimaPro!$1:$1048576,V$3,MATCH(MainInput!$U82,SimaPro!$1:$1,0))*$R82*$H82</f>
        <v>0</v>
      </c>
      <c r="W82" s="867" cm="1">
        <f t="array" ref="W82">INDEX(SimaPro!$1:$1048576,W$3,MATCH(MainInput!$U82,SimaPro!$1:$1,0))*$R82*$H82</f>
        <v>0</v>
      </c>
      <c r="X82" s="867" cm="1">
        <f t="array" ref="X82">INDEX(SimaPro!$1:$1048576,X$3,MATCH(MainInput!$U82,SimaPro!$1:$1,0))*$R82*$H82</f>
        <v>0</v>
      </c>
      <c r="Y82" s="867" cm="1">
        <f t="array" ref="Y82">INDEX(SimaPro!$1:$1048576,Y$3,MATCH(MainInput!$U82,SimaPro!$1:$1,0))*$R82*$H82</f>
        <v>0</v>
      </c>
    </row>
    <row r="83" spans="1:30" ht="18" customHeight="1">
      <c r="B83" s="819" t="s">
        <v>1872</v>
      </c>
      <c r="C83" s="819" t="s">
        <v>2219</v>
      </c>
      <c r="D83" s="846" t="s">
        <v>2218</v>
      </c>
      <c r="E83" s="846" t="str">
        <f ca="1"/>
        <v>Fermentation residues</v>
      </c>
      <c r="G83" s="973" t="str">
        <f ca="1">E83</f>
        <v>Fermentation residues</v>
      </c>
      <c r="H83" s="973"/>
      <c r="I83" s="973"/>
      <c r="J83" s="825"/>
      <c r="K83" s="819"/>
      <c r="L83" s="819"/>
      <c r="M83" s="819">
        <f ca="1"/>
        <v>0</v>
      </c>
      <c r="N83" s="973"/>
      <c r="O83" s="824" t="s">
        <v>352</v>
      </c>
      <c r="P83" s="821"/>
      <c r="Q83" s="831"/>
      <c r="R83" s="985">
        <v>1</v>
      </c>
      <c r="S83" s="985"/>
      <c r="T83" s="985"/>
      <c r="V83" s="867" cm="1">
        <f t="array" ref="V83">INDEX(SimaPro!$1:$1048576,V$3,MATCH(MainInput!$U83,SimaPro!$1:$1,0))*$R83*$H83</f>
        <v>0</v>
      </c>
      <c r="W83" s="867" cm="1">
        <f t="array" ref="W83">INDEX(SimaPro!$1:$1048576,W$3,MATCH(MainInput!$U83,SimaPro!$1:$1,0))*$R83*$H83</f>
        <v>0</v>
      </c>
      <c r="X83" s="867" cm="1">
        <f t="array" ref="X83">INDEX(SimaPro!$1:$1048576,X$3,MATCH(MainInput!$U83,SimaPro!$1:$1,0))*$R83*$H83</f>
        <v>0</v>
      </c>
      <c r="Y83" s="867" cm="1">
        <f t="array" ref="Y83">INDEX(SimaPro!$1:$1048576,Y$3,MATCH(MainInput!$U83,SimaPro!$1:$1,0))*$R83*$H83</f>
        <v>0</v>
      </c>
    </row>
    <row r="84" spans="1:30" ht="18" customHeight="1">
      <c r="B84" s="834" t="s">
        <v>352</v>
      </c>
      <c r="C84" s="834" t="s">
        <v>352</v>
      </c>
      <c r="D84" s="834" t="s">
        <v>352</v>
      </c>
      <c r="E84" s="846" t="str">
        <f ca="1"/>
        <v/>
      </c>
      <c r="G84" s="994"/>
      <c r="H84" s="831"/>
      <c r="I84" s="831"/>
      <c r="J84" s="825"/>
      <c r="K84" s="819"/>
      <c r="L84" s="819"/>
      <c r="M84" s="819">
        <f ca="1"/>
        <v>0</v>
      </c>
      <c r="N84" s="822"/>
      <c r="O84" s="824" t="s">
        <v>352</v>
      </c>
      <c r="P84" s="821"/>
      <c r="Q84" s="831"/>
      <c r="R84" s="985">
        <v>1</v>
      </c>
      <c r="S84" s="985"/>
      <c r="T84" s="985"/>
      <c r="V84" s="867" cm="1">
        <f t="array" ref="V84">INDEX(SimaPro!$1:$1048576,V$3,MATCH(MainInput!$U84,SimaPro!$1:$1,0))*$R84*$H84</f>
        <v>0</v>
      </c>
      <c r="W84" s="867" cm="1">
        <f t="array" ref="W84">INDEX(SimaPro!$1:$1048576,W$3,MATCH(MainInput!$U84,SimaPro!$1:$1,0))*$R84*$H84</f>
        <v>0</v>
      </c>
      <c r="X84" s="867" cm="1">
        <f t="array" ref="X84">INDEX(SimaPro!$1:$1048576,X$3,MATCH(MainInput!$U84,SimaPro!$1:$1,0))*$R84*$H84</f>
        <v>0</v>
      </c>
      <c r="Y84" s="867" cm="1">
        <f t="array" ref="Y84">INDEX(SimaPro!$1:$1048576,Y$3,MATCH(MainInput!$U84,SimaPro!$1:$1,0))*$R84*$H84</f>
        <v>0</v>
      </c>
    </row>
    <row r="85" spans="1:30" ht="18" customHeight="1">
      <c r="B85" s="819" t="s">
        <v>1873</v>
      </c>
      <c r="C85" s="819" t="s">
        <v>2019</v>
      </c>
      <c r="D85" s="819" t="s">
        <v>2220</v>
      </c>
      <c r="E85" s="846" t="str">
        <f ca="1"/>
        <v>Solid fermentation residues</v>
      </c>
      <c r="G85" s="980" t="str">
        <f t="shared" ref="G85:G90" ca="1" si="13">E85</f>
        <v>Solid fermentation residues</v>
      </c>
      <c r="H85" s="996"/>
      <c r="I85" s="982"/>
      <c r="J85" s="825"/>
      <c r="K85" s="819"/>
      <c r="L85" s="819"/>
      <c r="M85" s="819">
        <f ca="1"/>
        <v>0</v>
      </c>
      <c r="N85" s="822"/>
      <c r="O85" s="824" t="s">
        <v>352</v>
      </c>
      <c r="P85" s="821"/>
      <c r="Q85" s="831"/>
      <c r="R85" s="985">
        <v>1</v>
      </c>
      <c r="S85" s="985"/>
      <c r="T85" s="985"/>
      <c r="V85" s="867" cm="1">
        <f t="array" ref="V85">INDEX(SimaPro!$1:$1048576,V$3,MATCH(MainInput!$U85,SimaPro!$1:$1,0))*$R85*$H85</f>
        <v>0</v>
      </c>
      <c r="W85" s="867" cm="1">
        <f t="array" ref="W85">INDEX(SimaPro!$1:$1048576,W$3,MATCH(MainInput!$U85,SimaPro!$1:$1,0))*$R85*$H85</f>
        <v>0</v>
      </c>
      <c r="X85" s="867" cm="1">
        <f t="array" ref="X85">INDEX(SimaPro!$1:$1048576,X$3,MATCH(MainInput!$U85,SimaPro!$1:$1,0))*$R85*$H85</f>
        <v>0</v>
      </c>
      <c r="Y85" s="867" cm="1">
        <f t="array" ref="Y85">INDEX(SimaPro!$1:$1048576,Y$3,MATCH(MainInput!$U85,SimaPro!$1:$1,0))*$R85*$H85</f>
        <v>0</v>
      </c>
    </row>
    <row r="86" spans="1:30" ht="18" customHeight="1">
      <c r="A86" s="815">
        <v>64</v>
      </c>
      <c r="B86" s="819" t="s">
        <v>2016</v>
      </c>
      <c r="C86" s="819" t="s">
        <v>2017</v>
      </c>
      <c r="D86" s="819" t="s">
        <v>2023</v>
      </c>
      <c r="E86" s="846" t="str">
        <f ca="1"/>
        <v>Type of treatment</v>
      </c>
      <c r="G86" s="983" t="str">
        <f t="shared" ca="1" si="13"/>
        <v>Type of treatment</v>
      </c>
      <c r="H86" s="861"/>
      <c r="I86" s="949">
        <f>IF(ISNA(O86),0,IF(O86,1,0))</f>
        <v>0</v>
      </c>
      <c r="J86" s="871" t="s">
        <v>2312</v>
      </c>
      <c r="K86" s="816" t="s">
        <v>2315</v>
      </c>
      <c r="L86" s="816" t="s">
        <v>2314</v>
      </c>
      <c r="M86" s="815" t="str">
        <f ca="1"/>
        <v>Please specify treatment type solid digestate</v>
      </c>
      <c r="N86" s="822" t="str">
        <f ca="1">IFERROR(IF(O86,"",M86),M86)</f>
        <v>Please specify treatment type solid digestate</v>
      </c>
      <c r="O86" s="815" t="e">
        <f>Auswahl_Behandlung_fest&lt;6</f>
        <v>#N/A</v>
      </c>
      <c r="P86" s="815" t="e">
        <f>MATCH(MainInput!H86,menuesBG!$F$65:$F$69,0)</f>
        <v>#N/A</v>
      </c>
      <c r="R86" s="985">
        <v>1</v>
      </c>
      <c r="S86" s="985"/>
      <c r="T86" s="985"/>
      <c r="V86" s="867" cm="1">
        <f t="array" ref="V86">INDEX(SimaPro!$1:$1048576,V$3,MATCH(MainInput!$U86,SimaPro!$1:$1,0))*$R86*$H86</f>
        <v>0</v>
      </c>
      <c r="W86" s="867" cm="1">
        <f t="array" ref="W86">INDEX(SimaPro!$1:$1048576,W$3,MATCH(MainInput!$U86,SimaPro!$1:$1,0))*$R86*$H86</f>
        <v>0</v>
      </c>
      <c r="X86" s="867" cm="1">
        <f t="array" ref="X86">INDEX(SimaPro!$1:$1048576,X$3,MATCH(MainInput!$U86,SimaPro!$1:$1,0))*$R86*$H86</f>
        <v>0</v>
      </c>
      <c r="Y86" s="867" cm="1">
        <f t="array" ref="Y86">INDEX(SimaPro!$1:$1048576,Y$3,MATCH(MainInput!$U86,SimaPro!$1:$1,0))*$R86*$H86</f>
        <v>0</v>
      </c>
    </row>
    <row r="87" spans="1:30" ht="18" customHeight="1">
      <c r="B87" s="819" t="s">
        <v>2015</v>
      </c>
      <c r="C87" s="819" t="s">
        <v>2020</v>
      </c>
      <c r="D87" s="819" t="s">
        <v>1990</v>
      </c>
      <c r="E87" s="846" t="str">
        <f ca="1"/>
        <v>Type of use</v>
      </c>
      <c r="G87" s="819" t="str">
        <f t="shared" ca="1" si="13"/>
        <v>Type of use</v>
      </c>
      <c r="H87" s="860"/>
      <c r="I87" s="949">
        <f>IF(ISNA(O87),0,IF(O87,1,0))</f>
        <v>0</v>
      </c>
      <c r="J87" s="830" t="s">
        <v>2321</v>
      </c>
      <c r="K87" s="914" t="s">
        <v>1817</v>
      </c>
      <c r="L87" s="914" t="s">
        <v>1820</v>
      </c>
      <c r="M87" s="819" t="str">
        <f ca="1"/>
        <v>If sewage sludge or similar substrates are used, the fermentation residue must be incinerated.</v>
      </c>
      <c r="N87" s="822" t="str">
        <f ca="1">IFERROR(IF(Auswahl_Verwendung_fest=1,"please specify / Bitte angeben / veuillez préciser",IF(O87,"",M87)),$M$8)</f>
        <v>Fill in selection matrix for selected language</v>
      </c>
      <c r="O87" s="824" t="e">
        <f>IF(AND(SUM(Substrates!F111:F124)&gt;0,Auswahl_Verwendung_fest&lt;3),FALSE,TRUE)</f>
        <v>#N/A</v>
      </c>
      <c r="P87" s="815" t="e">
        <f>MATCH(MainInput!H87,menuesBG!$F$95:$F$98,0)</f>
        <v>#N/A</v>
      </c>
      <c r="Q87" s="821" t="e">
        <f>GärrestFestMenge/GärrestTotal</f>
        <v>#DIV/0!</v>
      </c>
      <c r="R87" s="985">
        <v>1</v>
      </c>
      <c r="S87" s="985"/>
      <c r="T87" s="985"/>
      <c r="V87" s="867" cm="1">
        <f t="array" ref="V87">INDEX(SimaPro!$1:$1048576,V$3,MATCH(MainInput!$U87,SimaPro!$1:$1,0))*$R87*$H87</f>
        <v>0</v>
      </c>
      <c r="W87" s="867" cm="1">
        <f t="array" ref="W87">INDEX(SimaPro!$1:$1048576,W$3,MATCH(MainInput!$U87,SimaPro!$1:$1,0))*$R87*$H87</f>
        <v>0</v>
      </c>
      <c r="X87" s="867" cm="1">
        <f t="array" ref="X87">INDEX(SimaPro!$1:$1048576,X$3,MATCH(MainInput!$U87,SimaPro!$1:$1,0))*$R87*$H87</f>
        <v>0</v>
      </c>
      <c r="Y87" s="867" cm="1">
        <f t="array" ref="Y87">INDEX(SimaPro!$1:$1048576,Y$3,MATCH(MainInput!$U87,SimaPro!$1:$1,0))*$R87*$H87</f>
        <v>0</v>
      </c>
    </row>
    <row r="88" spans="1:30" ht="18" customHeight="1">
      <c r="A88" s="815">
        <v>94</v>
      </c>
      <c r="B88" s="819" t="s">
        <v>171</v>
      </c>
      <c r="C88" s="819" t="s">
        <v>393</v>
      </c>
      <c r="D88" s="819" t="s">
        <v>1250</v>
      </c>
      <c r="E88" s="846" t="str">
        <f ca="1"/>
        <v>Quantity</v>
      </c>
      <c r="G88" s="819" t="str">
        <f t="shared" ca="1" si="13"/>
        <v>Quantity</v>
      </c>
      <c r="H88" s="971">
        <v>0</v>
      </c>
      <c r="I88" s="949">
        <f>IF(O88,1,-1)</f>
        <v>-1</v>
      </c>
      <c r="J88" s="825" t="s">
        <v>2058</v>
      </c>
      <c r="K88" s="819" t="s">
        <v>1816</v>
      </c>
      <c r="L88" s="819" t="s">
        <v>1830</v>
      </c>
      <c r="M88" s="819" t="str">
        <f ca="1"/>
        <v>Input and output of the biogas plant do not match (max 25% deviation)</v>
      </c>
      <c r="N88" s="822" t="str">
        <f ca="1">IFERROR(IF(O88,"",M88),$M$8)</f>
        <v>Input and output of the biogas plant do not match (max 25% deviation)</v>
      </c>
      <c r="O88" s="824" t="b">
        <f>AND(H24/1.25&lt;H100,H100&lt;H24*1.25)</f>
        <v>0</v>
      </c>
      <c r="P88" s="829">
        <f>H88</f>
        <v>0</v>
      </c>
      <c r="R88" s="985" t="s">
        <v>1675</v>
      </c>
      <c r="S88" s="985"/>
      <c r="T88" s="985"/>
      <c r="V88" s="867" t="e" cm="1">
        <f t="array" ref="V88">INDEX(SimaPro!$1:$1048576,V$3,MATCH(MainInput!$U88,SimaPro!$1:$1,0))*$R88*$H88</f>
        <v>#VALUE!</v>
      </c>
      <c r="W88" s="867" t="e" cm="1">
        <f t="array" ref="W88">INDEX(SimaPro!$1:$1048576,W$3,MATCH(MainInput!$U88,SimaPro!$1:$1,0))*$R88*$H88</f>
        <v>#VALUE!</v>
      </c>
      <c r="X88" s="867" t="e" cm="1">
        <f t="array" ref="X88">INDEX(SimaPro!$1:$1048576,X$3,MATCH(MainInput!$U88,SimaPro!$1:$1,0))*$R88*$H88</f>
        <v>#VALUE!</v>
      </c>
      <c r="Y88" s="867" t="e" cm="1">
        <f t="array" ref="Y88">INDEX(SimaPro!$1:$1048576,Y$3,MATCH(MainInput!$U88,SimaPro!$1:$1,0))*$R88*$H88</f>
        <v>#VALUE!</v>
      </c>
      <c r="Z88" s="975" t="s">
        <v>283</v>
      </c>
      <c r="AA88" s="867" t="e" cm="1">
        <f t="array" ref="AA88">INDEX(SimaPro!$1:$1048576,AA$3,MATCH(MainInput!$Z88,SimaPro!$1:$1,0))*$R88*$H88</f>
        <v>#VALUE!</v>
      </c>
      <c r="AB88" s="867" t="e" cm="1">
        <f t="array" ref="AB88">INDEX(SimaPro!$1:$1048576,AB$3,MATCH(MainInput!$Z88,SimaPro!$1:$1,0))*$R88*$H88</f>
        <v>#VALUE!</v>
      </c>
      <c r="AC88" s="867" t="e" cm="1">
        <f t="array" ref="AC88">INDEX(SimaPro!$1:$1048576,AC$3,MATCH(MainInput!$Z88,SimaPro!$1:$1,0))*$R88*$H88</f>
        <v>#VALUE!</v>
      </c>
      <c r="AD88" s="867" t="e" cm="1">
        <f t="array" ref="AD88">INDEX(SimaPro!$1:$1048576,AD$3,MATCH(MainInput!$Z88,SimaPro!$1:$1,0))*$R88*$H88</f>
        <v>#VALUE!</v>
      </c>
    </row>
    <row r="89" spans="1:30" ht="18" customHeight="1">
      <c r="B89" s="819" t="s">
        <v>2284</v>
      </c>
      <c r="C89" s="819" t="s">
        <v>2021</v>
      </c>
      <c r="D89" s="819" t="s">
        <v>2024</v>
      </c>
      <c r="E89" s="846" t="str">
        <f ca="1"/>
        <v>Costs/yield for disposal/spreading</v>
      </c>
      <c r="G89" s="819" t="str">
        <f t="shared" ca="1" si="13"/>
        <v>Costs/yield for disposal/spreading</v>
      </c>
      <c r="H89" s="797">
        <v>0</v>
      </c>
      <c r="I89" s="1001"/>
      <c r="J89" s="1002" t="s">
        <v>2415</v>
      </c>
      <c r="K89" s="1002" t="s">
        <v>2416</v>
      </c>
      <c r="L89" s="1002" t="s">
        <v>2414</v>
      </c>
      <c r="M89" s="1002" t="str">
        <f ca="1"/>
        <v>Revenue (plus) or expenses (minus) for disposal or application of digestate (excluding transport costs)</v>
      </c>
      <c r="N89" s="822" t="str">
        <f ca="1">M89</f>
        <v>Revenue (plus) or expenses (minus) for disposal or application of digestate (excluding transport costs)</v>
      </c>
      <c r="O89" s="824" t="s">
        <v>352</v>
      </c>
      <c r="Q89" s="821"/>
      <c r="R89" s="985">
        <v>1</v>
      </c>
      <c r="S89" s="985"/>
      <c r="T89" s="985"/>
      <c r="V89" s="867" cm="1">
        <f t="array" ref="V89">INDEX(SimaPro!$1:$1048576,V$3,MATCH(MainInput!$U89,SimaPro!$1:$1,0))*$R89*$H89</f>
        <v>0</v>
      </c>
      <c r="W89" s="867" cm="1">
        <f t="array" ref="W89">INDEX(SimaPro!$1:$1048576,W$3,MATCH(MainInput!$U89,SimaPro!$1:$1,0))*$R89*$H89</f>
        <v>0</v>
      </c>
      <c r="X89" s="867" cm="1">
        <f t="array" ref="X89">INDEX(SimaPro!$1:$1048576,X$3,MATCH(MainInput!$U89,SimaPro!$1:$1,0))*$R89*$H89</f>
        <v>0</v>
      </c>
      <c r="Y89" s="867" cm="1">
        <f t="array" ref="Y89">INDEX(SimaPro!$1:$1048576,Y$3,MATCH(MainInput!$U89,SimaPro!$1:$1,0))*$R89*$H89</f>
        <v>0</v>
      </c>
    </row>
    <row r="90" spans="1:30" ht="18" customHeight="1">
      <c r="A90" s="815">
        <v>30</v>
      </c>
      <c r="B90" s="819" t="s">
        <v>2018</v>
      </c>
      <c r="C90" s="819" t="s">
        <v>2286</v>
      </c>
      <c r="D90" s="819" t="s">
        <v>2025</v>
      </c>
      <c r="E90" s="846" t="str">
        <f ca="1"/>
        <v>Simple distance plant - disposal/spreading</v>
      </c>
      <c r="G90" s="819" t="str">
        <f t="shared" ca="1" si="13"/>
        <v>Simple distance plant - disposal/spreading</v>
      </c>
      <c r="H90" s="872">
        <v>0</v>
      </c>
      <c r="J90" s="871"/>
      <c r="K90" s="816"/>
      <c r="L90" s="816"/>
      <c r="M90" s="815">
        <f ca="1"/>
        <v>0</v>
      </c>
      <c r="P90" s="815" t="e">
        <f>P87&lt;3</f>
        <v>#N/A</v>
      </c>
      <c r="R90" s="985">
        <v>1</v>
      </c>
      <c r="S90" s="985"/>
      <c r="T90" s="985"/>
      <c r="V90" s="867" cm="1">
        <f t="array" ref="V90">INDEX(SimaPro!$1:$1048576,V$3,MATCH(MainInput!$U90,SimaPro!$1:$1,0))*$R90*$H90</f>
        <v>0</v>
      </c>
      <c r="W90" s="867" cm="1">
        <f t="array" ref="W90">INDEX(SimaPro!$1:$1048576,W$3,MATCH(MainInput!$U90,SimaPro!$1:$1,0))*$R90*$H90</f>
        <v>0</v>
      </c>
      <c r="X90" s="867" cm="1">
        <f t="array" ref="X90">INDEX(SimaPro!$1:$1048576,X$3,MATCH(MainInput!$U90,SimaPro!$1:$1,0))*$R90*$H90</f>
        <v>0</v>
      </c>
      <c r="Y90" s="867" cm="1">
        <f t="array" ref="Y90">INDEX(SimaPro!$1:$1048576,Y$3,MATCH(MainInput!$U90,SimaPro!$1:$1,0))*$R90*$H90</f>
        <v>0</v>
      </c>
    </row>
    <row r="91" spans="1:30" ht="18" customHeight="1">
      <c r="B91" s="834" t="s">
        <v>352</v>
      </c>
      <c r="C91" s="834" t="s">
        <v>352</v>
      </c>
      <c r="D91" s="834" t="s">
        <v>352</v>
      </c>
      <c r="E91" s="846" t="str">
        <f ca="1"/>
        <v/>
      </c>
      <c r="G91" s="819"/>
      <c r="I91" s="1001"/>
      <c r="J91" s="871"/>
      <c r="K91" s="816"/>
      <c r="L91" s="816"/>
      <c r="M91" s="819">
        <f ca="1"/>
        <v>0</v>
      </c>
      <c r="O91" s="824" t="s">
        <v>352</v>
      </c>
      <c r="R91" s="985">
        <v>1</v>
      </c>
      <c r="S91" s="985"/>
      <c r="T91" s="985"/>
      <c r="V91" s="867" cm="1">
        <f t="array" ref="V91">INDEX(SimaPro!$1:$1048576,V$3,MATCH(MainInput!$U91,SimaPro!$1:$1,0))*$R91*$H91</f>
        <v>0</v>
      </c>
      <c r="W91" s="867" cm="1">
        <f t="array" ref="W91">INDEX(SimaPro!$1:$1048576,W$3,MATCH(MainInput!$U91,SimaPro!$1:$1,0))*$R91*$H91</f>
        <v>0</v>
      </c>
      <c r="X91" s="867" cm="1">
        <f t="array" ref="X91">INDEX(SimaPro!$1:$1048576,X$3,MATCH(MainInput!$U91,SimaPro!$1:$1,0))*$R91*$H91</f>
        <v>0</v>
      </c>
      <c r="Y91" s="867" cm="1">
        <f t="array" ref="Y91">INDEX(SimaPro!$1:$1048576,Y$3,MATCH(MainInput!$U91,SimaPro!$1:$1,0))*$R91*$H91</f>
        <v>0</v>
      </c>
    </row>
    <row r="92" spans="1:30" ht="18" customHeight="1">
      <c r="B92" s="819" t="s">
        <v>1874</v>
      </c>
      <c r="C92" s="819" t="s">
        <v>2026</v>
      </c>
      <c r="D92" s="819" t="s">
        <v>2221</v>
      </c>
      <c r="E92" s="846" t="str">
        <f ca="1"/>
        <v>Liquid fermentation residues</v>
      </c>
      <c r="G92" s="980" t="str">
        <f t="shared" ref="G92:G97" ca="1" si="14">E92</f>
        <v>Liquid fermentation residues</v>
      </c>
      <c r="H92" s="996"/>
      <c r="I92" s="982"/>
      <c r="J92" s="1002"/>
      <c r="K92" s="1003"/>
      <c r="L92" s="1003"/>
      <c r="M92" s="819">
        <f ca="1"/>
        <v>0</v>
      </c>
      <c r="N92" s="822"/>
      <c r="O92" s="824" t="s">
        <v>352</v>
      </c>
      <c r="Q92" s="821"/>
      <c r="R92" s="985">
        <v>1</v>
      </c>
      <c r="S92" s="985"/>
      <c r="T92" s="985"/>
      <c r="V92" s="867" cm="1">
        <f t="array" ref="V92">INDEX(SimaPro!$1:$1048576,V$3,MATCH(MainInput!$U92,SimaPro!$1:$1,0))*$R92*$H92</f>
        <v>0</v>
      </c>
      <c r="W92" s="867" cm="1">
        <f t="array" ref="W92">INDEX(SimaPro!$1:$1048576,W$3,MATCH(MainInput!$U92,SimaPro!$1:$1,0))*$R92*$H92</f>
        <v>0</v>
      </c>
      <c r="X92" s="867" cm="1">
        <f t="array" ref="X92">INDEX(SimaPro!$1:$1048576,X$3,MATCH(MainInput!$U92,SimaPro!$1:$1,0))*$R92*$H92</f>
        <v>0</v>
      </c>
      <c r="Y92" s="867" cm="1">
        <f t="array" ref="Y92">INDEX(SimaPro!$1:$1048576,Y$3,MATCH(MainInput!$U92,SimaPro!$1:$1,0))*$R92*$H92</f>
        <v>0</v>
      </c>
    </row>
    <row r="93" spans="1:30" ht="18" customHeight="1">
      <c r="A93" s="815">
        <v>70</v>
      </c>
      <c r="B93" s="819" t="s">
        <v>2016</v>
      </c>
      <c r="C93" s="819" t="s">
        <v>2017</v>
      </c>
      <c r="D93" s="819" t="s">
        <v>2023</v>
      </c>
      <c r="E93" s="846" t="str">
        <f ca="1"/>
        <v>Type of treatment</v>
      </c>
      <c r="G93" s="983" t="str">
        <f t="shared" ca="1" si="14"/>
        <v>Type of treatment</v>
      </c>
      <c r="H93" s="861"/>
      <c r="I93" s="949">
        <f>IF(ISNA(O93),0,IF(O93,1,0))</f>
        <v>0</v>
      </c>
      <c r="J93" s="828" t="s">
        <v>2313</v>
      </c>
      <c r="K93" s="828" t="s">
        <v>2317</v>
      </c>
      <c r="L93" s="816" t="s">
        <v>2316</v>
      </c>
      <c r="M93" s="819" t="str">
        <f ca="1"/>
        <v>Please specify treatment type liquid digestate</v>
      </c>
      <c r="N93" s="822" t="str">
        <f ca="1">IFERROR(IF(O93,"",M93),M93)</f>
        <v>Please specify treatment type liquid digestate</v>
      </c>
      <c r="O93" s="815" t="e">
        <f>Auswahl_Behandlung_flüssig&lt;4</f>
        <v>#N/A</v>
      </c>
      <c r="P93" s="815" t="e">
        <f>MATCH(MainInput!H93,menuesBG!$F$71:$F$73,0)</f>
        <v>#N/A</v>
      </c>
      <c r="R93" s="985">
        <v>1</v>
      </c>
      <c r="S93" s="985"/>
      <c r="T93" s="985"/>
      <c r="V93" s="867" cm="1">
        <f t="array" ref="V93">INDEX(SimaPro!$1:$1048576,V$3,MATCH(MainInput!$U93,SimaPro!$1:$1,0))*$R93*$H93</f>
        <v>0</v>
      </c>
      <c r="W93" s="867" cm="1">
        <f t="array" ref="W93">INDEX(SimaPro!$1:$1048576,W$3,MATCH(MainInput!$U93,SimaPro!$1:$1,0))*$R93*$H93</f>
        <v>0</v>
      </c>
      <c r="X93" s="867" cm="1">
        <f t="array" ref="X93">INDEX(SimaPro!$1:$1048576,X$3,MATCH(MainInput!$U93,SimaPro!$1:$1,0))*$R93*$H93</f>
        <v>0</v>
      </c>
      <c r="Y93" s="867" cm="1">
        <f t="array" ref="Y93">INDEX(SimaPro!$1:$1048576,Y$3,MATCH(MainInput!$U93,SimaPro!$1:$1,0))*$R93*$H93</f>
        <v>0</v>
      </c>
    </row>
    <row r="94" spans="1:30" ht="18" customHeight="1">
      <c r="B94" s="819" t="s">
        <v>2015</v>
      </c>
      <c r="C94" s="819" t="s">
        <v>2020</v>
      </c>
      <c r="D94" s="819" t="s">
        <v>1990</v>
      </c>
      <c r="E94" s="846" t="str">
        <f ca="1"/>
        <v>Type of use</v>
      </c>
      <c r="G94" s="819" t="str">
        <f t="shared" ca="1" si="14"/>
        <v>Type of use</v>
      </c>
      <c r="H94" s="860"/>
      <c r="I94" s="949">
        <f>IF(ISNA(O94),0,IF(O94,1,0))</f>
        <v>0</v>
      </c>
      <c r="J94" s="1002" t="s">
        <v>2318</v>
      </c>
      <c r="K94" s="1003" t="s">
        <v>2319</v>
      </c>
      <c r="L94" s="1003" t="s">
        <v>2320</v>
      </c>
      <c r="M94" s="819" t="str">
        <f ca="1"/>
        <v>Please specify type of use of liquid digestate</v>
      </c>
      <c r="N94" s="822" t="str">
        <f ca="1">IFERROR(IF(O94,"",M94),M94)</f>
        <v>Please specify type of use of liquid digestate</v>
      </c>
      <c r="O94" s="815" t="e">
        <f>Auswahl_Verwendung_flüssig&lt;6</f>
        <v>#N/A</v>
      </c>
      <c r="P94" s="815" t="e">
        <f>MATCH(MainInput!H94,menuesBG!F$75:F$80,0)</f>
        <v>#N/A</v>
      </c>
      <c r="Q94" s="821" t="e">
        <f>GärrestFlüssigMenge/GärrestTotal</f>
        <v>#DIV/0!</v>
      </c>
      <c r="R94" s="985">
        <v>1</v>
      </c>
      <c r="S94" s="985"/>
      <c r="T94" s="985"/>
      <c r="V94" s="867" cm="1">
        <f t="array" ref="V94">INDEX(SimaPro!$1:$1048576,V$3,MATCH(MainInput!$U94,SimaPro!$1:$1,0))*$R94*$H94</f>
        <v>0</v>
      </c>
      <c r="W94" s="867" cm="1">
        <f t="array" ref="W94">INDEX(SimaPro!$1:$1048576,W$3,MATCH(MainInput!$U94,SimaPro!$1:$1,0))*$R94*$H94</f>
        <v>0</v>
      </c>
      <c r="X94" s="867" cm="1">
        <f t="array" ref="X94">INDEX(SimaPro!$1:$1048576,X$3,MATCH(MainInput!$U94,SimaPro!$1:$1,0))*$R94*$H94</f>
        <v>0</v>
      </c>
      <c r="Y94" s="867" cm="1">
        <f t="array" ref="Y94">INDEX(SimaPro!$1:$1048576,Y$3,MATCH(MainInput!$U94,SimaPro!$1:$1,0))*$R94*$H94</f>
        <v>0</v>
      </c>
    </row>
    <row r="95" spans="1:30" ht="18" customHeight="1">
      <c r="A95" s="815">
        <v>74</v>
      </c>
      <c r="B95" s="819" t="s">
        <v>171</v>
      </c>
      <c r="C95" s="819" t="s">
        <v>393</v>
      </c>
      <c r="D95" s="819" t="s">
        <v>1250</v>
      </c>
      <c r="E95" s="846" t="str">
        <f ca="1"/>
        <v>Quantity</v>
      </c>
      <c r="G95" s="819" t="str">
        <f t="shared" ca="1" si="14"/>
        <v>Quantity</v>
      </c>
      <c r="H95" s="971">
        <v>0</v>
      </c>
      <c r="I95" s="949">
        <f>IF(O95,1,-1)</f>
        <v>-1</v>
      </c>
      <c r="J95" s="825" t="s">
        <v>2058</v>
      </c>
      <c r="K95" s="819" t="s">
        <v>1816</v>
      </c>
      <c r="L95" s="819" t="s">
        <v>1830</v>
      </c>
      <c r="M95" s="819" t="str">
        <f ca="1"/>
        <v>Input and output of the biogas plant do not match (max 25% deviation)</v>
      </c>
      <c r="N95" s="822"/>
      <c r="O95" s="824" t="b">
        <f>AND(H24/1.25&lt;H100,H100&lt;H24*1.25)</f>
        <v>0</v>
      </c>
      <c r="P95" s="829">
        <f>H95</f>
        <v>0</v>
      </c>
      <c r="Q95" s="821"/>
      <c r="R95" s="985" t="s">
        <v>1675</v>
      </c>
      <c r="S95" s="985"/>
      <c r="T95" s="985"/>
      <c r="V95" s="867" t="e" cm="1">
        <f t="array" ref="V95">INDEX(SimaPro!$1:$1048576,V$3,MATCH(MainInput!$U95,SimaPro!$1:$1,0))*$R95*$H95</f>
        <v>#VALUE!</v>
      </c>
      <c r="W95" s="867" t="e" cm="1">
        <f t="array" ref="W95">INDEX(SimaPro!$1:$1048576,W$3,MATCH(MainInput!$U95,SimaPro!$1:$1,0))*$R95*$H95</f>
        <v>#VALUE!</v>
      </c>
      <c r="X95" s="867" t="e" cm="1">
        <f t="array" ref="X95">INDEX(SimaPro!$1:$1048576,X$3,MATCH(MainInput!$U95,SimaPro!$1:$1,0))*$R95*$H95</f>
        <v>#VALUE!</v>
      </c>
      <c r="Y95" s="867" t="e" cm="1">
        <f t="array" ref="Y95">INDEX(SimaPro!$1:$1048576,Y$3,MATCH(MainInput!$U95,SimaPro!$1:$1,0))*$R95*$H95</f>
        <v>#VALUE!</v>
      </c>
      <c r="Z95" s="975" t="s">
        <v>284</v>
      </c>
      <c r="AA95" s="867" t="e" cm="1">
        <f t="array" ref="AA95">INDEX(SimaPro!$1:$1048576,AA$3,MATCH(MainInput!$Z95,SimaPro!$1:$1,0))*$R95*$H95</f>
        <v>#VALUE!</v>
      </c>
      <c r="AB95" s="867" t="e" cm="1">
        <f t="array" ref="AB95">INDEX(SimaPro!$1:$1048576,AB$3,MATCH(MainInput!$Z95,SimaPro!$1:$1,0))*$R95*$H95</f>
        <v>#VALUE!</v>
      </c>
      <c r="AC95" s="867" t="e" cm="1">
        <f t="array" ref="AC95">INDEX(SimaPro!$1:$1048576,AC$3,MATCH(MainInput!$Z95,SimaPro!$1:$1,0))*$R95*$H95</f>
        <v>#VALUE!</v>
      </c>
      <c r="AD95" s="867" t="e" cm="1">
        <f t="array" ref="AD95">INDEX(SimaPro!$1:$1048576,AD$3,MATCH(MainInput!$Z95,SimaPro!$1:$1,0))*$R95*$H95</f>
        <v>#VALUE!</v>
      </c>
    </row>
    <row r="96" spans="1:30" ht="18" customHeight="1">
      <c r="B96" s="819" t="s">
        <v>2284</v>
      </c>
      <c r="C96" s="819" t="s">
        <v>2021</v>
      </c>
      <c r="D96" s="819" t="s">
        <v>2024</v>
      </c>
      <c r="E96" s="846" t="str">
        <f ca="1"/>
        <v>Costs/yield for disposal/spreading</v>
      </c>
      <c r="G96" s="819" t="str">
        <f t="shared" ca="1" si="14"/>
        <v>Costs/yield for disposal/spreading</v>
      </c>
      <c r="H96" s="797">
        <v>0</v>
      </c>
      <c r="I96" s="1001"/>
      <c r="J96" s="1002" t="str">
        <f>J89</f>
        <v>Einnahmen (plus) bzw. Ausgaben (minus) für Entsorgung bzw. Ausbringung der Gärreste (ohne Transportkosten)</v>
      </c>
      <c r="K96" s="1002" t="str">
        <f t="shared" ref="K96:L96" si="15">K89</f>
        <v>Revenus (plus) ou dépenses (moins) pour l'élimination ou l'épandage du digestat (à l'exclusion des frais de transport)</v>
      </c>
      <c r="L96" s="1002" t="str">
        <f t="shared" si="15"/>
        <v>Revenue (plus) or expenses (minus) for disposal or application of digestate (excluding transport costs)</v>
      </c>
      <c r="M96" s="819" t="str">
        <f ca="1"/>
        <v>Revenue (plus) or expenses (minus) for disposal or application of digestate (excluding transport costs)</v>
      </c>
      <c r="N96" s="822" t="str">
        <f ca="1">M96</f>
        <v>Revenue (plus) or expenses (minus) for disposal or application of digestate (excluding transport costs)</v>
      </c>
      <c r="O96" s="824" t="s">
        <v>352</v>
      </c>
      <c r="Q96" s="821"/>
      <c r="R96" s="985">
        <v>1</v>
      </c>
      <c r="S96" s="985"/>
      <c r="T96" s="985"/>
      <c r="V96" s="867" cm="1">
        <f t="array" ref="V96">INDEX(SimaPro!$1:$1048576,V$3,MATCH(MainInput!$U96,SimaPro!$1:$1,0))*$R96*$H96</f>
        <v>0</v>
      </c>
      <c r="W96" s="867" cm="1">
        <f t="array" ref="W96">INDEX(SimaPro!$1:$1048576,W$3,MATCH(MainInput!$U96,SimaPro!$1:$1,0))*$R96*$H96</f>
        <v>0</v>
      </c>
      <c r="X96" s="867" cm="1">
        <f t="array" ref="X96">INDEX(SimaPro!$1:$1048576,X$3,MATCH(MainInput!$U96,SimaPro!$1:$1,0))*$R96*$H96</f>
        <v>0</v>
      </c>
      <c r="Y96" s="867" cm="1">
        <f t="array" ref="Y96">INDEX(SimaPro!$1:$1048576,Y$3,MATCH(MainInput!$U96,SimaPro!$1:$1,0))*$R96*$H96</f>
        <v>0</v>
      </c>
    </row>
    <row r="97" spans="2:25" ht="18" customHeight="1">
      <c r="B97" s="819" t="s">
        <v>2018</v>
      </c>
      <c r="C97" s="819" t="s">
        <v>2022</v>
      </c>
      <c r="D97" s="819" t="s">
        <v>2025</v>
      </c>
      <c r="E97" s="846" t="str">
        <f ca="1"/>
        <v>Simple distance plant - disposal/spreading</v>
      </c>
      <c r="G97" s="819" t="str">
        <f t="shared" ca="1" si="14"/>
        <v>Simple distance plant - disposal/spreading</v>
      </c>
      <c r="H97" s="872">
        <v>0</v>
      </c>
      <c r="I97" s="1001"/>
      <c r="J97" s="1002"/>
      <c r="K97" s="1003"/>
      <c r="L97" s="1003"/>
      <c r="M97" s="819">
        <f ca="1"/>
        <v>0</v>
      </c>
      <c r="N97" s="822"/>
      <c r="O97" s="824" t="s">
        <v>352</v>
      </c>
      <c r="Q97" s="821"/>
      <c r="R97" s="985">
        <v>1</v>
      </c>
      <c r="S97" s="985"/>
      <c r="T97" s="985"/>
      <c r="V97" s="867" cm="1">
        <f t="array" ref="V97">INDEX(SimaPro!$1:$1048576,V$3,MATCH(MainInput!$U97,SimaPro!$1:$1,0))*$R97*$H97</f>
        <v>0</v>
      </c>
      <c r="W97" s="867" cm="1">
        <f t="array" ref="W97">INDEX(SimaPro!$1:$1048576,W$3,MATCH(MainInput!$U97,SimaPro!$1:$1,0))*$R97*$H97</f>
        <v>0</v>
      </c>
      <c r="X97" s="867" cm="1">
        <f t="array" ref="X97">INDEX(SimaPro!$1:$1048576,X$3,MATCH(MainInput!$U97,SimaPro!$1:$1,0))*$R97*$H97</f>
        <v>0</v>
      </c>
      <c r="Y97" s="867" cm="1">
        <f t="array" ref="Y97">INDEX(SimaPro!$1:$1048576,Y$3,MATCH(MainInput!$U97,SimaPro!$1:$1,0))*$R97*$H97</f>
        <v>0</v>
      </c>
    </row>
    <row r="98" spans="2:25" ht="18" customHeight="1">
      <c r="B98" s="834" t="s">
        <v>352</v>
      </c>
      <c r="C98" s="834" t="s">
        <v>352</v>
      </c>
      <c r="D98" s="834" t="s">
        <v>352</v>
      </c>
      <c r="E98" s="846" t="str">
        <f ca="1"/>
        <v/>
      </c>
      <c r="G98" s="819"/>
      <c r="H98" s="1001"/>
      <c r="I98" s="1001"/>
      <c r="J98" s="1002"/>
      <c r="K98" s="1003"/>
      <c r="L98" s="1003"/>
      <c r="M98" s="819">
        <f ca="1"/>
        <v>0</v>
      </c>
      <c r="N98" s="822"/>
      <c r="O98" s="824" t="s">
        <v>352</v>
      </c>
      <c r="Q98" s="821"/>
      <c r="R98" s="985">
        <v>1</v>
      </c>
      <c r="S98" s="985"/>
      <c r="T98" s="985"/>
      <c r="V98" s="867" cm="1">
        <f t="array" ref="V98">INDEX(SimaPro!$1:$1048576,V$3,MATCH(MainInput!$U98,SimaPro!$1:$1,0))*$R98*$H98</f>
        <v>0</v>
      </c>
      <c r="W98" s="867" cm="1">
        <f t="array" ref="W98">INDEX(SimaPro!$1:$1048576,W$3,MATCH(MainInput!$U98,SimaPro!$1:$1,0))*$R98*$H98</f>
        <v>0</v>
      </c>
      <c r="X98" s="867" cm="1">
        <f t="array" ref="X98">INDEX(SimaPro!$1:$1048576,X$3,MATCH(MainInput!$U98,SimaPro!$1:$1,0))*$R98*$H98</f>
        <v>0</v>
      </c>
      <c r="Y98" s="867" cm="1">
        <f t="array" ref="Y98">INDEX(SimaPro!$1:$1048576,Y$3,MATCH(MainInput!$U98,SimaPro!$1:$1,0))*$R98*$H98</f>
        <v>0</v>
      </c>
    </row>
    <row r="99" spans="2:25" ht="18" customHeight="1">
      <c r="B99" s="819" t="s">
        <v>1875</v>
      </c>
      <c r="C99" s="846" t="s">
        <v>2034</v>
      </c>
      <c r="D99" s="846" t="s">
        <v>2028</v>
      </c>
      <c r="E99" s="846" t="str">
        <f ca="1"/>
        <v>Total digestate</v>
      </c>
      <c r="G99" s="980" t="str">
        <f ca="1">E99</f>
        <v>Total digestate</v>
      </c>
      <c r="H99" s="996"/>
      <c r="I99" s="982"/>
      <c r="J99" s="1002"/>
      <c r="K99" s="1003"/>
      <c r="L99" s="1003"/>
      <c r="M99" s="819">
        <f ca="1"/>
        <v>0</v>
      </c>
      <c r="N99" s="822"/>
      <c r="O99" s="824" t="s">
        <v>352</v>
      </c>
      <c r="Q99" s="821"/>
      <c r="R99" s="985">
        <v>1</v>
      </c>
      <c r="S99" s="985"/>
      <c r="T99" s="985"/>
      <c r="V99" s="867" cm="1">
        <f t="array" ref="V99">INDEX(SimaPro!$1:$1048576,V$3,MATCH(MainInput!$U99,SimaPro!$1:$1,0))*$R99*$H99</f>
        <v>0</v>
      </c>
      <c r="W99" s="867" cm="1">
        <f t="array" ref="W99">INDEX(SimaPro!$1:$1048576,W$3,MATCH(MainInput!$U99,SimaPro!$1:$1,0))*$R99*$H99</f>
        <v>0</v>
      </c>
      <c r="X99" s="867" cm="1">
        <f t="array" ref="X99">INDEX(SimaPro!$1:$1048576,X$3,MATCH(MainInput!$U99,SimaPro!$1:$1,0))*$R99*$H99</f>
        <v>0</v>
      </c>
      <c r="Y99" s="867" cm="1">
        <f t="array" ref="Y99">INDEX(SimaPro!$1:$1048576,Y$3,MATCH(MainInput!$U99,SimaPro!$1:$1,0))*$R99*$H99</f>
        <v>0</v>
      </c>
    </row>
    <row r="100" spans="2:25" ht="18" customHeight="1">
      <c r="B100" s="819" t="s">
        <v>2032</v>
      </c>
      <c r="C100" s="846" t="s">
        <v>2035</v>
      </c>
      <c r="D100" s="846" t="s">
        <v>2029</v>
      </c>
      <c r="E100" s="846" t="str">
        <f ca="1"/>
        <v>Total quantity</v>
      </c>
      <c r="G100" s="983" t="str">
        <f ca="1">E100</f>
        <v>Total quantity</v>
      </c>
      <c r="H100" s="1004">
        <f>SUM(H88,H95)</f>
        <v>0</v>
      </c>
      <c r="I100" s="949">
        <f>IF(O100,1,-1)</f>
        <v>1</v>
      </c>
      <c r="J100" s="825" t="s">
        <v>1828</v>
      </c>
      <c r="K100" s="826" t="s">
        <v>1818</v>
      </c>
      <c r="L100" s="826" t="s">
        <v>1821</v>
      </c>
      <c r="M100" s="819" t="str">
        <f ca="1"/>
        <v>Fouled substrate quantity is greater than input</v>
      </c>
      <c r="N100" s="822" t="str">
        <f>IFERROR(IF(O100,"",M100),$M$8)</f>
        <v/>
      </c>
      <c r="O100" s="815" t="b">
        <f>H100&lt;=H24*1.1</f>
        <v>1</v>
      </c>
      <c r="Q100" s="821"/>
      <c r="R100" s="985">
        <v>1</v>
      </c>
      <c r="S100" s="985"/>
      <c r="T100" s="985"/>
      <c r="V100" s="867" cm="1">
        <f t="array" ref="V100">INDEX(SimaPro!$1:$1048576,V$3,MATCH(MainInput!$U100,SimaPro!$1:$1,0))*$R100*$H100</f>
        <v>0</v>
      </c>
      <c r="W100" s="867" cm="1">
        <f t="array" ref="W100">INDEX(SimaPro!$1:$1048576,W$3,MATCH(MainInput!$U100,SimaPro!$1:$1,0))*$R100*$H100</f>
        <v>0</v>
      </c>
      <c r="X100" s="867" cm="1">
        <f t="array" ref="X100">INDEX(SimaPro!$1:$1048576,X$3,MATCH(MainInput!$U100,SimaPro!$1:$1,0))*$R100*$H100</f>
        <v>0</v>
      </c>
      <c r="Y100" s="867" cm="1">
        <f t="array" ref="Y100">INDEX(SimaPro!$1:$1048576,Y$3,MATCH(MainInput!$U100,SimaPro!$1:$1,0))*$R100*$H100</f>
        <v>0</v>
      </c>
    </row>
    <row r="101" spans="2:25" ht="18" customHeight="1">
      <c r="B101" s="819" t="s">
        <v>2033</v>
      </c>
      <c r="C101" s="819" t="s">
        <v>2283</v>
      </c>
      <c r="D101" s="846" t="s">
        <v>2030</v>
      </c>
      <c r="E101" s="846" t="str">
        <f ca="1"/>
        <v>Total costs/yield</v>
      </c>
      <c r="G101" s="819" t="str">
        <f ca="1">E101</f>
        <v>Total costs/yield</v>
      </c>
      <c r="H101" s="1005">
        <f>H96+H89</f>
        <v>0</v>
      </c>
      <c r="I101" s="1001"/>
      <c r="J101" s="1002"/>
      <c r="K101" s="1003"/>
      <c r="L101" s="1003"/>
      <c r="M101" s="819">
        <f ca="1"/>
        <v>0</v>
      </c>
      <c r="N101" s="822"/>
      <c r="O101" s="824" t="s">
        <v>352</v>
      </c>
      <c r="Q101" s="821"/>
      <c r="R101" s="985">
        <v>1</v>
      </c>
      <c r="S101" s="985"/>
      <c r="T101" s="985"/>
      <c r="V101" s="867" cm="1">
        <f t="array" ref="V101">INDEX(SimaPro!$1:$1048576,V$3,MATCH(MainInput!$U101,SimaPro!$1:$1,0))*$R101*$H101</f>
        <v>0</v>
      </c>
      <c r="W101" s="867" cm="1">
        <f t="array" ref="W101">INDEX(SimaPro!$1:$1048576,W$3,MATCH(MainInput!$U101,SimaPro!$1:$1,0))*$R101*$H101</f>
        <v>0</v>
      </c>
      <c r="X101" s="867" cm="1">
        <f t="array" ref="X101">INDEX(SimaPro!$1:$1048576,X$3,MATCH(MainInput!$U101,SimaPro!$1:$1,0))*$R101*$H101</f>
        <v>0</v>
      </c>
      <c r="Y101" s="867" cm="1">
        <f t="array" ref="Y101">INDEX(SimaPro!$1:$1048576,Y$3,MATCH(MainInput!$U101,SimaPro!$1:$1,0))*$R101*$H101</f>
        <v>0</v>
      </c>
    </row>
    <row r="102" spans="2:25" ht="18" customHeight="1">
      <c r="B102" s="819" t="s">
        <v>2027</v>
      </c>
      <c r="C102" s="819" t="s">
        <v>2285</v>
      </c>
      <c r="D102" s="846" t="s">
        <v>2031</v>
      </c>
      <c r="E102" s="846" t="str">
        <f ca="1"/>
        <v>Total tonne-kilometres disposal/spreading</v>
      </c>
      <c r="G102" s="1006" t="str">
        <f ca="1">E102</f>
        <v>Total tonne-kilometres disposal/spreading</v>
      </c>
      <c r="H102" s="827">
        <f>H95*H97+H88*H90</f>
        <v>0</v>
      </c>
      <c r="I102" s="978"/>
      <c r="J102" s="825"/>
      <c r="K102" s="826"/>
      <c r="L102" s="826"/>
      <c r="M102" s="819">
        <f ca="1"/>
        <v>0</v>
      </c>
      <c r="N102" s="822" t="str">
        <f>IFERROR(IF(O100,"",M102),$M$8)</f>
        <v/>
      </c>
      <c r="Q102" s="821"/>
      <c r="R102" s="985">
        <v>1</v>
      </c>
      <c r="S102" s="985"/>
      <c r="T102" s="985"/>
      <c r="U102" s="815" t="s">
        <v>1964</v>
      </c>
      <c r="V102" s="867" cm="1">
        <f t="array" ref="V102">INDEX(SimaPro!$1:$1048576,V$3,MATCH(MainInput!$U102,SimaPro!$1:$1,0))*$R102*$H102</f>
        <v>0</v>
      </c>
      <c r="W102" s="867" cm="1">
        <f t="array" ref="W102">INDEX(SimaPro!$1:$1048576,W$3,MATCH(MainInput!$U102,SimaPro!$1:$1,0))*$R102*$H102</f>
        <v>0</v>
      </c>
      <c r="X102" s="867" cm="1">
        <f t="array" ref="X102">INDEX(SimaPro!$1:$1048576,X$3,MATCH(MainInput!$U102,SimaPro!$1:$1,0))*$R102*$H102</f>
        <v>0</v>
      </c>
      <c r="Y102" s="867" cm="1">
        <f t="array" ref="Y102">INDEX(SimaPro!$1:$1048576,Y$3,MATCH(MainInput!$U102,SimaPro!$1:$1,0))*$R102*$H102</f>
        <v>0</v>
      </c>
    </row>
    <row r="103" spans="2:25" ht="18" customHeight="1">
      <c r="B103" s="834" t="s">
        <v>352</v>
      </c>
      <c r="C103" s="834" t="s">
        <v>352</v>
      </c>
      <c r="D103" s="834" t="s">
        <v>352</v>
      </c>
      <c r="E103" s="846" t="str">
        <f ca="1"/>
        <v/>
      </c>
      <c r="G103" s="819"/>
      <c r="H103" s="819"/>
      <c r="I103" s="1007"/>
      <c r="J103" s="1008"/>
      <c r="K103" s="1009"/>
      <c r="L103" s="1009"/>
      <c r="M103" s="819">
        <f ca="1"/>
        <v>0</v>
      </c>
      <c r="N103" s="822"/>
      <c r="O103" s="824" t="s">
        <v>352</v>
      </c>
      <c r="Q103" s="821"/>
      <c r="R103" s="985">
        <v>1</v>
      </c>
      <c r="S103" s="985"/>
      <c r="T103" s="985"/>
      <c r="V103" s="867"/>
      <c r="W103" s="867"/>
      <c r="X103" s="928"/>
      <c r="Y103" s="928"/>
    </row>
    <row r="104" spans="2:25" ht="18" customHeight="1">
      <c r="B104" s="819" t="s">
        <v>1877</v>
      </c>
      <c r="C104" s="819" t="s">
        <v>2036</v>
      </c>
      <c r="D104" s="819" t="s">
        <v>2037</v>
      </c>
      <c r="E104" s="846" t="str">
        <f ca="1"/>
        <v>Results</v>
      </c>
      <c r="G104" s="973" t="str">
        <f ca="1">E104</f>
        <v>Results</v>
      </c>
      <c r="H104" s="973"/>
      <c r="I104" s="973"/>
      <c r="J104" s="1002"/>
      <c r="K104" s="1003"/>
      <c r="L104" s="1003"/>
      <c r="M104" s="819">
        <f ca="1"/>
        <v>0</v>
      </c>
      <c r="N104" s="973"/>
      <c r="O104" s="824" t="s">
        <v>352</v>
      </c>
      <c r="Q104" s="821"/>
      <c r="R104" s="985">
        <v>1</v>
      </c>
      <c r="S104" s="985"/>
      <c r="T104" s="985"/>
      <c r="V104" s="867"/>
      <c r="W104" s="867"/>
    </row>
    <row r="105" spans="2:25" ht="18" customHeight="1">
      <c r="B105" s="819" t="s">
        <v>1878</v>
      </c>
      <c r="C105" s="819" t="s">
        <v>2038</v>
      </c>
      <c r="D105" s="819" t="s">
        <v>2039</v>
      </c>
      <c r="E105" s="846" t="str">
        <f ca="1"/>
        <v>Entries are complete and verification is possible</v>
      </c>
      <c r="G105" s="983" t="e">
        <f>IF(O105,E105,"")</f>
        <v>#N/A</v>
      </c>
      <c r="I105" s="949">
        <f>IF(ISNA(O105),0,IF(O105,1,-1))</f>
        <v>0</v>
      </c>
      <c r="J105" s="817" t="s">
        <v>1981</v>
      </c>
      <c r="K105" s="818" t="s">
        <v>1982</v>
      </c>
      <c r="L105" s="818" t="s">
        <v>1983</v>
      </c>
      <c r="M105" s="819" t="str">
        <f ca="1"/>
        <v>Attention, a partial test (above) was not passed</v>
      </c>
      <c r="N105" s="820" t="str">
        <f>IFERROR(IF(O105,"",M105),"incomplete / unvollständig / incomplet")</f>
        <v>incomplete / unvollständig / incomplet</v>
      </c>
      <c r="O105" s="815" t="e">
        <f>AND(O6:O101)</f>
        <v>#N/A</v>
      </c>
      <c r="Q105" s="821"/>
      <c r="R105" s="985">
        <v>1</v>
      </c>
      <c r="S105" s="985"/>
      <c r="T105" s="985"/>
      <c r="V105" s="867"/>
      <c r="W105" s="867"/>
    </row>
    <row r="106" spans="2:25" ht="18" customHeight="1">
      <c r="B106" s="819" t="s">
        <v>1879</v>
      </c>
      <c r="C106" s="819" t="s">
        <v>2194</v>
      </c>
      <c r="D106" s="819" t="s">
        <v>2040</v>
      </c>
      <c r="E106" s="846" t="str">
        <f ca="1"/>
        <v>Continue to the results overview (worksheet "Results")</v>
      </c>
      <c r="G106" s="1054" t="e">
        <f>IF(O105,E106,"")</f>
        <v>#N/A</v>
      </c>
      <c r="I106" s="1001"/>
      <c r="J106" s="1002"/>
      <c r="K106" s="1003"/>
      <c r="L106" s="1003"/>
      <c r="M106" s="819"/>
      <c r="N106" s="822"/>
      <c r="Q106" s="821"/>
      <c r="R106" s="985"/>
      <c r="S106" s="985"/>
      <c r="T106" s="985"/>
    </row>
    <row r="107" spans="2:25">
      <c r="B107" s="819"/>
      <c r="R107" s="985"/>
      <c r="S107" s="985"/>
      <c r="T107" s="985"/>
    </row>
    <row r="108" spans="2:25">
      <c r="B108" s="819"/>
      <c r="R108" s="985"/>
      <c r="S108" s="985"/>
      <c r="T108" s="985"/>
    </row>
    <row r="109" spans="2:25">
      <c r="B109" s="819"/>
      <c r="R109" s="985"/>
      <c r="S109" s="985"/>
    </row>
    <row r="110" spans="2:25">
      <c r="R110" s="985"/>
      <c r="S110" s="985"/>
    </row>
    <row r="111" spans="2:25">
      <c r="R111" s="985"/>
      <c r="S111" s="985"/>
      <c r="T111" s="985"/>
    </row>
    <row r="112" spans="2:25">
      <c r="R112" s="985"/>
      <c r="S112" s="985"/>
      <c r="T112" s="985"/>
    </row>
    <row r="113" spans="18:20">
      <c r="R113" s="985"/>
      <c r="S113" s="985"/>
      <c r="T113" s="985"/>
    </row>
    <row r="114" spans="18:20">
      <c r="R114" s="985"/>
      <c r="S114" s="985"/>
      <c r="T114" s="985"/>
    </row>
    <row r="115" spans="18:20">
      <c r="R115" s="985"/>
      <c r="S115" s="985"/>
      <c r="T115" s="985"/>
    </row>
    <row r="116" spans="18:20">
      <c r="R116" s="985"/>
      <c r="S116" s="985"/>
      <c r="T116" s="985"/>
    </row>
    <row r="117" spans="18:20">
      <c r="R117" s="985"/>
      <c r="S117" s="985"/>
      <c r="T117" s="985"/>
    </row>
    <row r="118" spans="18:20">
      <c r="R118" s="985"/>
      <c r="S118" s="985"/>
      <c r="T118" s="985"/>
    </row>
    <row r="119" spans="18:20">
      <c r="R119" s="985"/>
      <c r="S119" s="985"/>
      <c r="T119" s="985"/>
    </row>
    <row r="120" spans="18:20">
      <c r="R120" s="985"/>
      <c r="S120" s="985"/>
      <c r="T120" s="985"/>
    </row>
    <row r="121" spans="18:20">
      <c r="R121" s="985"/>
      <c r="S121" s="985"/>
      <c r="T121" s="985"/>
    </row>
    <row r="122" spans="18:20">
      <c r="R122" s="985"/>
      <c r="S122" s="985"/>
      <c r="T122" s="985"/>
    </row>
    <row r="123" spans="18:20">
      <c r="R123" s="985"/>
      <c r="S123" s="985"/>
      <c r="T123" s="985"/>
    </row>
    <row r="124" spans="18:20">
      <c r="R124" s="985"/>
      <c r="S124" s="985"/>
      <c r="T124" s="985"/>
    </row>
    <row r="125" spans="18:20">
      <c r="R125" s="985"/>
      <c r="S125" s="985"/>
      <c r="T125" s="985"/>
    </row>
    <row r="126" spans="18:20">
      <c r="R126" s="985"/>
      <c r="S126" s="985"/>
      <c r="T126" s="985"/>
    </row>
    <row r="127" spans="18:20">
      <c r="R127" s="985"/>
      <c r="S127" s="985"/>
      <c r="T127" s="985"/>
    </row>
    <row r="128" spans="18:20">
      <c r="R128" s="985"/>
      <c r="S128" s="985"/>
      <c r="T128" s="985"/>
    </row>
    <row r="129" spans="18:20">
      <c r="R129" s="985"/>
      <c r="S129" s="985"/>
      <c r="T129" s="985"/>
    </row>
    <row r="130" spans="18:20">
      <c r="R130" s="985"/>
      <c r="S130" s="985"/>
      <c r="T130" s="985"/>
    </row>
    <row r="131" spans="18:20">
      <c r="R131" s="985"/>
      <c r="S131" s="985"/>
      <c r="T131" s="985"/>
    </row>
    <row r="132" spans="18:20">
      <c r="R132" s="985"/>
      <c r="S132" s="985"/>
      <c r="T132" s="985"/>
    </row>
    <row r="133" spans="18:20">
      <c r="R133" s="985"/>
      <c r="S133" s="985"/>
      <c r="T133" s="985"/>
    </row>
    <row r="134" spans="18:20">
      <c r="R134" s="985"/>
      <c r="S134" s="985"/>
      <c r="T134" s="985"/>
    </row>
    <row r="135" spans="18:20">
      <c r="R135" s="985"/>
      <c r="S135" s="985"/>
      <c r="T135" s="985"/>
    </row>
    <row r="136" spans="18:20">
      <c r="R136" s="985"/>
      <c r="S136" s="985"/>
      <c r="T136" s="985"/>
    </row>
    <row r="137" spans="18:20">
      <c r="R137" s="985"/>
      <c r="S137" s="985"/>
      <c r="T137" s="985"/>
    </row>
    <row r="138" spans="18:20">
      <c r="R138" s="985"/>
      <c r="S138" s="985"/>
      <c r="T138" s="985"/>
    </row>
    <row r="139" spans="18:20">
      <c r="R139" s="985"/>
      <c r="S139" s="985"/>
      <c r="T139" s="985"/>
    </row>
    <row r="140" spans="18:20">
      <c r="R140" s="985"/>
      <c r="S140" s="985"/>
      <c r="T140" s="985"/>
    </row>
    <row r="141" spans="18:20">
      <c r="R141" s="985"/>
      <c r="S141" s="985"/>
      <c r="T141" s="985"/>
    </row>
    <row r="142" spans="18:20">
      <c r="R142" s="985"/>
      <c r="S142" s="985"/>
      <c r="T142" s="985"/>
    </row>
    <row r="143" spans="18:20">
      <c r="R143" s="985"/>
      <c r="S143" s="985"/>
      <c r="T143" s="985"/>
    </row>
    <row r="144" spans="18:20">
      <c r="R144" s="985"/>
      <c r="S144" s="985"/>
      <c r="T144" s="985"/>
    </row>
    <row r="145" spans="18:20">
      <c r="R145" s="985"/>
      <c r="S145" s="985"/>
      <c r="T145" s="985"/>
    </row>
    <row r="146" spans="18:20">
      <c r="R146" s="985"/>
      <c r="S146" s="985"/>
      <c r="T146" s="985"/>
    </row>
    <row r="147" spans="18:20">
      <c r="R147" s="985"/>
      <c r="S147" s="985"/>
      <c r="T147" s="985"/>
    </row>
    <row r="148" spans="18:20">
      <c r="R148" s="985"/>
      <c r="S148" s="985"/>
      <c r="T148" s="985"/>
    </row>
    <row r="149" spans="18:20">
      <c r="R149" s="985"/>
      <c r="S149" s="985"/>
      <c r="T149" s="985"/>
    </row>
    <row r="150" spans="18:20">
      <c r="R150" s="985"/>
      <c r="S150" s="985"/>
      <c r="T150" s="985"/>
    </row>
    <row r="151" spans="18:20">
      <c r="R151" s="985"/>
      <c r="S151" s="985"/>
      <c r="T151" s="985"/>
    </row>
    <row r="152" spans="18:20">
      <c r="R152" s="985"/>
      <c r="S152" s="985"/>
      <c r="T152" s="985"/>
    </row>
    <row r="153" spans="18:20">
      <c r="R153" s="985"/>
      <c r="S153" s="985"/>
      <c r="T153" s="985"/>
    </row>
    <row r="154" spans="18:20">
      <c r="R154" s="985"/>
      <c r="S154" s="985"/>
      <c r="T154" s="985"/>
    </row>
    <row r="155" spans="18:20">
      <c r="R155" s="985"/>
      <c r="S155" s="985"/>
      <c r="T155" s="985"/>
    </row>
    <row r="156" spans="18:20">
      <c r="R156" s="985"/>
      <c r="S156" s="985"/>
      <c r="T156" s="985"/>
    </row>
    <row r="157" spans="18:20">
      <c r="R157" s="985"/>
      <c r="S157" s="985"/>
      <c r="T157" s="985"/>
    </row>
    <row r="158" spans="18:20">
      <c r="R158" s="985"/>
      <c r="S158" s="985"/>
      <c r="T158" s="985"/>
    </row>
    <row r="159" spans="18:20">
      <c r="R159" s="985"/>
      <c r="S159" s="985"/>
      <c r="T159" s="985"/>
    </row>
    <row r="160" spans="18:20">
      <c r="R160" s="985"/>
      <c r="S160" s="985"/>
      <c r="T160" s="985"/>
    </row>
    <row r="161" spans="18:20">
      <c r="R161" s="985"/>
      <c r="S161" s="985"/>
      <c r="T161" s="985"/>
    </row>
    <row r="162" spans="18:20">
      <c r="R162" s="985"/>
      <c r="S162" s="985"/>
      <c r="T162" s="985"/>
    </row>
    <row r="163" spans="18:20">
      <c r="R163" s="985"/>
      <c r="S163" s="985"/>
      <c r="T163" s="985"/>
    </row>
    <row r="164" spans="18:20">
      <c r="R164" s="985"/>
      <c r="S164" s="985"/>
      <c r="T164" s="985"/>
    </row>
    <row r="165" spans="18:20">
      <c r="R165" s="985"/>
      <c r="S165" s="985"/>
      <c r="T165" s="985"/>
    </row>
    <row r="166" spans="18:20">
      <c r="R166" s="985"/>
      <c r="S166" s="985"/>
      <c r="T166" s="985"/>
    </row>
    <row r="167" spans="18:20">
      <c r="R167" s="985"/>
      <c r="S167" s="985"/>
      <c r="T167" s="985"/>
    </row>
    <row r="168" spans="18:20">
      <c r="R168" s="985"/>
      <c r="S168" s="985"/>
      <c r="T168" s="985"/>
    </row>
    <row r="169" spans="18:20">
      <c r="R169" s="985"/>
      <c r="S169" s="985"/>
      <c r="T169" s="985"/>
    </row>
    <row r="170" spans="18:20">
      <c r="R170" s="985"/>
      <c r="S170" s="985"/>
      <c r="T170" s="985"/>
    </row>
    <row r="171" spans="18:20">
      <c r="R171" s="985"/>
      <c r="S171" s="985"/>
      <c r="T171" s="985"/>
    </row>
    <row r="172" spans="18:20">
      <c r="R172" s="985"/>
      <c r="S172" s="985"/>
      <c r="T172" s="985"/>
    </row>
    <row r="173" spans="18:20">
      <c r="R173" s="985"/>
      <c r="S173" s="985"/>
      <c r="T173" s="985"/>
    </row>
    <row r="174" spans="18:20">
      <c r="R174" s="985"/>
      <c r="S174" s="985"/>
      <c r="T174" s="985"/>
    </row>
    <row r="175" spans="18:20">
      <c r="R175" s="985"/>
      <c r="S175" s="985"/>
      <c r="T175" s="985"/>
    </row>
    <row r="176" spans="18:20">
      <c r="R176" s="985"/>
      <c r="S176" s="985"/>
      <c r="T176" s="985"/>
    </row>
    <row r="177" spans="18:20">
      <c r="R177" s="985"/>
      <c r="S177" s="985"/>
      <c r="T177" s="985"/>
    </row>
    <row r="178" spans="18:20">
      <c r="R178" s="985"/>
      <c r="S178" s="985"/>
      <c r="T178" s="985"/>
    </row>
    <row r="179" spans="18:20">
      <c r="R179" s="985"/>
      <c r="S179" s="985"/>
      <c r="T179" s="985"/>
    </row>
    <row r="180" spans="18:20">
      <c r="R180" s="985"/>
      <c r="S180" s="985"/>
      <c r="T180" s="985"/>
    </row>
    <row r="181" spans="18:20">
      <c r="R181" s="985"/>
      <c r="S181" s="985"/>
      <c r="T181" s="985"/>
    </row>
    <row r="182" spans="18:20">
      <c r="R182" s="985"/>
      <c r="S182" s="985"/>
      <c r="T182" s="985"/>
    </row>
    <row r="183" spans="18:20">
      <c r="R183" s="985"/>
      <c r="S183" s="985"/>
      <c r="T183" s="985"/>
    </row>
    <row r="184" spans="18:20">
      <c r="R184" s="985"/>
      <c r="S184" s="985"/>
      <c r="T184" s="985"/>
    </row>
    <row r="185" spans="18:20">
      <c r="R185" s="985"/>
      <c r="S185" s="985"/>
      <c r="T185" s="985"/>
    </row>
    <row r="186" spans="18:20">
      <c r="R186" s="985"/>
      <c r="S186" s="985"/>
      <c r="T186" s="985"/>
    </row>
    <row r="187" spans="18:20">
      <c r="R187" s="985"/>
      <c r="S187" s="985"/>
      <c r="T187" s="985"/>
    </row>
    <row r="188" spans="18:20">
      <c r="R188" s="985"/>
      <c r="S188" s="985"/>
      <c r="T188" s="985"/>
    </row>
    <row r="189" spans="18:20">
      <c r="R189" s="985"/>
      <c r="S189" s="985"/>
      <c r="T189" s="985"/>
    </row>
    <row r="190" spans="18:20">
      <c r="R190" s="985"/>
      <c r="S190" s="985"/>
      <c r="T190" s="985"/>
    </row>
    <row r="191" spans="18:20">
      <c r="R191" s="985"/>
      <c r="S191" s="985"/>
      <c r="T191" s="985"/>
    </row>
    <row r="192" spans="18:20">
      <c r="R192" s="985"/>
      <c r="S192" s="985"/>
      <c r="T192" s="985"/>
    </row>
    <row r="193" spans="18:20">
      <c r="R193" s="985"/>
      <c r="S193" s="985"/>
      <c r="T193" s="985"/>
    </row>
    <row r="194" spans="18:20">
      <c r="R194" s="985"/>
      <c r="S194" s="985"/>
      <c r="T194" s="985"/>
    </row>
    <row r="195" spans="18:20">
      <c r="R195" s="985"/>
      <c r="S195" s="985"/>
      <c r="T195" s="985"/>
    </row>
    <row r="196" spans="18:20">
      <c r="R196" s="985"/>
      <c r="S196" s="985"/>
      <c r="T196" s="985"/>
    </row>
    <row r="197" spans="18:20">
      <c r="R197" s="985"/>
      <c r="S197" s="985"/>
      <c r="T197" s="985"/>
    </row>
    <row r="198" spans="18:20">
      <c r="R198" s="985"/>
      <c r="S198" s="985"/>
      <c r="T198" s="985"/>
    </row>
    <row r="199" spans="18:20">
      <c r="R199" s="985"/>
      <c r="S199" s="985"/>
      <c r="T199" s="985"/>
    </row>
    <row r="200" spans="18:20">
      <c r="R200" s="985"/>
      <c r="S200" s="985"/>
      <c r="T200" s="985"/>
    </row>
    <row r="201" spans="18:20">
      <c r="R201" s="985"/>
      <c r="S201" s="985"/>
      <c r="T201" s="985"/>
    </row>
    <row r="202" spans="18:20">
      <c r="R202" s="985"/>
      <c r="S202" s="985"/>
      <c r="T202" s="985"/>
    </row>
    <row r="203" spans="18:20">
      <c r="R203" s="985"/>
      <c r="S203" s="985"/>
      <c r="T203" s="985"/>
    </row>
    <row r="204" spans="18:20">
      <c r="R204" s="985"/>
      <c r="S204" s="985"/>
      <c r="T204" s="985"/>
    </row>
    <row r="205" spans="18:20">
      <c r="R205" s="985"/>
      <c r="S205" s="985"/>
      <c r="T205" s="985"/>
    </row>
    <row r="206" spans="18:20">
      <c r="R206" s="985"/>
      <c r="S206" s="985"/>
      <c r="T206" s="985"/>
    </row>
    <row r="207" spans="18:20">
      <c r="R207" s="985"/>
      <c r="S207" s="985"/>
      <c r="T207" s="985"/>
    </row>
    <row r="208" spans="18:20">
      <c r="R208" s="985"/>
      <c r="S208" s="985"/>
      <c r="T208" s="985"/>
    </row>
    <row r="209" spans="18:20">
      <c r="R209" s="985"/>
      <c r="S209" s="985"/>
      <c r="T209" s="985"/>
    </row>
    <row r="210" spans="18:20">
      <c r="R210" s="985"/>
      <c r="S210" s="985"/>
      <c r="T210" s="985"/>
    </row>
    <row r="211" spans="18:20">
      <c r="R211" s="985"/>
      <c r="S211" s="985"/>
      <c r="T211" s="985"/>
    </row>
    <row r="212" spans="18:20">
      <c r="R212" s="985"/>
      <c r="S212" s="985"/>
      <c r="T212" s="985"/>
    </row>
    <row r="213" spans="18:20">
      <c r="R213" s="985"/>
      <c r="S213" s="985"/>
      <c r="T213" s="985"/>
    </row>
    <row r="214" spans="18:20">
      <c r="R214" s="985"/>
      <c r="S214" s="985"/>
      <c r="T214" s="985"/>
    </row>
    <row r="215" spans="18:20">
      <c r="R215" s="985"/>
      <c r="S215" s="985"/>
      <c r="T215" s="985"/>
    </row>
    <row r="216" spans="18:20">
      <c r="R216" s="985"/>
      <c r="S216" s="985"/>
      <c r="T216" s="985"/>
    </row>
    <row r="217" spans="18:20">
      <c r="R217" s="985"/>
      <c r="S217" s="985"/>
      <c r="T217" s="985"/>
    </row>
    <row r="218" spans="18:20">
      <c r="R218" s="985"/>
      <c r="S218" s="985"/>
      <c r="T218" s="985"/>
    </row>
    <row r="219" spans="18:20">
      <c r="R219" s="985"/>
      <c r="S219" s="985"/>
      <c r="T219" s="985"/>
    </row>
    <row r="220" spans="18:20">
      <c r="R220" s="985"/>
      <c r="S220" s="985"/>
      <c r="T220" s="985"/>
    </row>
    <row r="221" spans="18:20">
      <c r="R221" s="985"/>
      <c r="S221" s="985"/>
      <c r="T221" s="985"/>
    </row>
    <row r="222" spans="18:20">
      <c r="R222" s="985"/>
      <c r="S222" s="985"/>
      <c r="T222" s="985"/>
    </row>
    <row r="223" spans="18:20">
      <c r="R223" s="985"/>
      <c r="S223" s="985"/>
      <c r="T223" s="985"/>
    </row>
    <row r="224" spans="18:20">
      <c r="R224" s="985"/>
      <c r="S224" s="985"/>
      <c r="T224" s="985"/>
    </row>
    <row r="225" spans="18:20">
      <c r="R225" s="985"/>
      <c r="S225" s="985"/>
      <c r="T225" s="985"/>
    </row>
    <row r="226" spans="18:20">
      <c r="R226" s="985"/>
      <c r="S226" s="985"/>
      <c r="T226" s="985"/>
    </row>
    <row r="227" spans="18:20">
      <c r="R227" s="985"/>
      <c r="S227" s="985"/>
      <c r="T227" s="985"/>
    </row>
    <row r="228" spans="18:20">
      <c r="R228" s="985"/>
      <c r="S228" s="985"/>
      <c r="T228" s="985"/>
    </row>
    <row r="229" spans="18:20">
      <c r="R229" s="985"/>
      <c r="S229" s="985"/>
      <c r="T229" s="985"/>
    </row>
    <row r="230" spans="18:20">
      <c r="R230" s="985"/>
      <c r="S230" s="985"/>
      <c r="T230" s="985"/>
    </row>
    <row r="231" spans="18:20">
      <c r="R231" s="985"/>
      <c r="S231" s="985"/>
      <c r="T231" s="985"/>
    </row>
    <row r="232" spans="18:20">
      <c r="R232" s="985"/>
      <c r="S232" s="985"/>
      <c r="T232" s="985"/>
    </row>
    <row r="233" spans="18:20">
      <c r="R233" s="985"/>
      <c r="S233" s="985"/>
      <c r="T233" s="985"/>
    </row>
    <row r="234" spans="18:20">
      <c r="R234" s="985"/>
      <c r="S234" s="985"/>
      <c r="T234" s="985"/>
    </row>
    <row r="235" spans="18:20">
      <c r="R235" s="985"/>
      <c r="S235" s="985"/>
      <c r="T235" s="985"/>
    </row>
    <row r="236" spans="18:20">
      <c r="R236" s="985"/>
      <c r="S236" s="985"/>
      <c r="T236" s="985"/>
    </row>
    <row r="237" spans="18:20">
      <c r="R237" s="985"/>
      <c r="S237" s="985"/>
      <c r="T237" s="985"/>
    </row>
    <row r="238" spans="18:20">
      <c r="R238" s="985"/>
      <c r="S238" s="985"/>
      <c r="T238" s="985"/>
    </row>
    <row r="239" spans="18:20">
      <c r="R239" s="985"/>
      <c r="S239" s="985"/>
      <c r="T239" s="985"/>
    </row>
    <row r="240" spans="18:20">
      <c r="R240" s="985"/>
      <c r="S240" s="985"/>
      <c r="T240" s="985"/>
    </row>
    <row r="241" spans="18:20">
      <c r="R241" s="985"/>
      <c r="S241" s="985"/>
      <c r="T241" s="985"/>
    </row>
    <row r="242" spans="18:20">
      <c r="R242" s="985"/>
      <c r="S242" s="985"/>
      <c r="T242" s="985"/>
    </row>
    <row r="243" spans="18:20">
      <c r="R243" s="985"/>
      <c r="S243" s="985"/>
      <c r="T243" s="985"/>
    </row>
    <row r="244" spans="18:20">
      <c r="R244" s="985"/>
      <c r="S244" s="985"/>
      <c r="T244" s="985"/>
    </row>
    <row r="245" spans="18:20">
      <c r="R245" s="985"/>
      <c r="S245" s="985"/>
      <c r="T245" s="985"/>
    </row>
    <row r="246" spans="18:20">
      <c r="R246" s="985"/>
      <c r="S246" s="985"/>
      <c r="T246" s="985"/>
    </row>
    <row r="247" spans="18:20">
      <c r="R247" s="985"/>
      <c r="S247" s="985"/>
      <c r="T247" s="985"/>
    </row>
    <row r="248" spans="18:20">
      <c r="R248" s="985"/>
      <c r="S248" s="985"/>
      <c r="T248" s="985"/>
    </row>
    <row r="249" spans="18:20">
      <c r="R249" s="985"/>
      <c r="S249" s="985"/>
      <c r="T249" s="985"/>
    </row>
    <row r="250" spans="18:20">
      <c r="R250" s="985"/>
      <c r="S250" s="985"/>
      <c r="T250" s="985"/>
    </row>
    <row r="251" spans="18:20">
      <c r="R251" s="985"/>
      <c r="S251" s="985"/>
      <c r="T251" s="985"/>
    </row>
    <row r="252" spans="18:20">
      <c r="R252" s="985"/>
      <c r="S252" s="985"/>
      <c r="T252" s="985"/>
    </row>
    <row r="253" spans="18:20">
      <c r="R253" s="985"/>
      <c r="S253" s="985"/>
      <c r="T253" s="985"/>
    </row>
    <row r="254" spans="18:20">
      <c r="R254" s="985"/>
      <c r="S254" s="985"/>
      <c r="T254" s="985"/>
    </row>
    <row r="255" spans="18:20">
      <c r="R255" s="985"/>
      <c r="S255" s="985"/>
      <c r="T255" s="985"/>
    </row>
    <row r="256" spans="18:20">
      <c r="R256" s="985"/>
      <c r="S256" s="985"/>
      <c r="T256" s="985"/>
    </row>
    <row r="257" spans="18:20">
      <c r="R257" s="985"/>
      <c r="S257" s="985"/>
      <c r="T257" s="985"/>
    </row>
    <row r="258" spans="18:20">
      <c r="R258" s="985"/>
      <c r="S258" s="985"/>
      <c r="T258" s="985"/>
    </row>
    <row r="259" spans="18:20">
      <c r="R259" s="985"/>
      <c r="S259" s="985"/>
      <c r="T259" s="985"/>
    </row>
    <row r="260" spans="18:20">
      <c r="R260" s="985"/>
      <c r="S260" s="985"/>
      <c r="T260" s="985"/>
    </row>
    <row r="261" spans="18:20">
      <c r="R261" s="985"/>
      <c r="S261" s="985"/>
      <c r="T261" s="985"/>
    </row>
    <row r="262" spans="18:20">
      <c r="R262" s="985"/>
      <c r="S262" s="985"/>
      <c r="T262" s="985"/>
    </row>
    <row r="263" spans="18:20">
      <c r="R263" s="985"/>
      <c r="S263" s="985"/>
      <c r="T263" s="985"/>
    </row>
    <row r="264" spans="18:20">
      <c r="R264" s="985"/>
      <c r="S264" s="985"/>
      <c r="T264" s="985"/>
    </row>
    <row r="265" spans="18:20">
      <c r="R265" s="985"/>
      <c r="S265" s="985"/>
      <c r="T265" s="985"/>
    </row>
    <row r="266" spans="18:20">
      <c r="R266" s="985"/>
      <c r="S266" s="985"/>
      <c r="T266" s="985"/>
    </row>
    <row r="267" spans="18:20">
      <c r="R267" s="985"/>
      <c r="S267" s="985"/>
      <c r="T267" s="985"/>
    </row>
    <row r="268" spans="18:20">
      <c r="R268" s="985"/>
      <c r="S268" s="985"/>
      <c r="T268" s="985"/>
    </row>
    <row r="269" spans="18:20">
      <c r="R269" s="985"/>
      <c r="S269" s="985"/>
      <c r="T269" s="985"/>
    </row>
    <row r="270" spans="18:20">
      <c r="R270" s="985"/>
      <c r="S270" s="985"/>
      <c r="T270" s="985"/>
    </row>
    <row r="271" spans="18:20">
      <c r="R271" s="985"/>
      <c r="S271" s="985"/>
      <c r="T271" s="985"/>
    </row>
    <row r="272" spans="18:20">
      <c r="R272" s="985"/>
      <c r="S272" s="985"/>
      <c r="T272" s="985"/>
    </row>
    <row r="273" spans="18:20">
      <c r="R273" s="985"/>
      <c r="S273" s="985"/>
      <c r="T273" s="985"/>
    </row>
    <row r="274" spans="18:20">
      <c r="R274" s="985"/>
      <c r="S274" s="985"/>
      <c r="T274" s="985"/>
    </row>
    <row r="275" spans="18:20">
      <c r="R275" s="985"/>
      <c r="S275" s="985"/>
      <c r="T275" s="985"/>
    </row>
    <row r="276" spans="18:20">
      <c r="R276" s="985"/>
      <c r="S276" s="985"/>
      <c r="T276" s="985"/>
    </row>
    <row r="277" spans="18:20">
      <c r="R277" s="985"/>
      <c r="S277" s="985"/>
      <c r="T277" s="985"/>
    </row>
    <row r="278" spans="18:20">
      <c r="R278" s="985"/>
      <c r="S278" s="985"/>
      <c r="T278" s="985"/>
    </row>
    <row r="279" spans="18:20">
      <c r="R279" s="985"/>
      <c r="S279" s="985"/>
      <c r="T279" s="985"/>
    </row>
    <row r="280" spans="18:20">
      <c r="R280" s="985"/>
      <c r="S280" s="985"/>
      <c r="T280" s="985"/>
    </row>
    <row r="281" spans="18:20">
      <c r="R281" s="985"/>
      <c r="S281" s="985"/>
      <c r="T281" s="985"/>
    </row>
  </sheetData>
  <sheetProtection algorithmName="SHA-512" hashValue="WvH8EbLQq7hAkviehoQUXelds2Zr0X6YUeAyB5ZD9xGES5lZOL8xrUNcBnyVFWCrYRFzWrJOuMGoOT6aLgw+OQ==" saltValue="AToX+DLkXPoNm0KZqquDyA==" spinCount="100000" sheet="1" selectLockedCells="1"/>
  <dataConsolidate/>
  <phoneticPr fontId="0" type="noConversion"/>
  <conditionalFormatting sqref="O20 O10:O16 O87:O88 O103:O105 O59:O62 O45 O48:O57 O24:O43 O3:O8 O64:O75 O91:O101 O77 O79:O85">
    <cfRule type="cellIs" dxfId="132" priority="328" stopIfTrue="1" operator="equal">
      <formula>FALSE</formula>
    </cfRule>
    <cfRule type="cellIs" dxfId="131" priority="329" stopIfTrue="1" operator="equal">
      <formula>TRUE</formula>
    </cfRule>
  </conditionalFormatting>
  <conditionalFormatting sqref="O19">
    <cfRule type="cellIs" dxfId="130" priority="322" stopIfTrue="1" operator="equal">
      <formula>FALSE</formula>
    </cfRule>
    <cfRule type="cellIs" dxfId="129" priority="323" stopIfTrue="1" operator="equal">
      <formula>TRUE</formula>
    </cfRule>
  </conditionalFormatting>
  <conditionalFormatting sqref="P16:Q16 P18:T18">
    <cfRule type="expression" dxfId="128" priority="306">
      <formula>$P$9=2</formula>
    </cfRule>
    <cfRule type="expression" dxfId="127" priority="307">
      <formula>$P$9=1</formula>
    </cfRule>
  </conditionalFormatting>
  <conditionalFormatting sqref="H25 P95">
    <cfRule type="expression" dxfId="126" priority="219">
      <formula>Standort=5</formula>
    </cfRule>
    <cfRule type="expression" dxfId="125" priority="248">
      <formula>Standort=4</formula>
    </cfRule>
    <cfRule type="expression" dxfId="124" priority="249">
      <formula>Standort=3</formula>
    </cfRule>
    <cfRule type="expression" dxfId="123" priority="250">
      <formula>Standort=2</formula>
    </cfRule>
    <cfRule type="expression" dxfId="122" priority="251">
      <formula>Standort=1</formula>
    </cfRule>
  </conditionalFormatting>
  <conditionalFormatting sqref="O58">
    <cfRule type="cellIs" dxfId="121" priority="246" stopIfTrue="1" operator="equal">
      <formula>FALSE</formula>
    </cfRule>
    <cfRule type="cellIs" dxfId="120" priority="247" stopIfTrue="1" operator="equal">
      <formula>TRUE</formula>
    </cfRule>
  </conditionalFormatting>
  <conditionalFormatting sqref="O17">
    <cfRule type="cellIs" dxfId="119" priority="244" stopIfTrue="1" operator="equal">
      <formula>FALSE</formula>
    </cfRule>
    <cfRule type="cellIs" dxfId="118" priority="245" stopIfTrue="1" operator="equal">
      <formula>TRUE</formula>
    </cfRule>
  </conditionalFormatting>
  <conditionalFormatting sqref="P17:T17">
    <cfRule type="expression" dxfId="117" priority="242">
      <formula>$P$9=2</formula>
    </cfRule>
    <cfRule type="expression" dxfId="116" priority="243">
      <formula>$P$9=1</formula>
    </cfRule>
  </conditionalFormatting>
  <conditionalFormatting sqref="P22:Q22">
    <cfRule type="expression" dxfId="115" priority="236">
      <formula>$P$9=2</formula>
    </cfRule>
    <cfRule type="expression" dxfId="114" priority="237">
      <formula>$P$9=1</formula>
    </cfRule>
  </conditionalFormatting>
  <conditionalFormatting sqref="P21:T21">
    <cfRule type="expression" dxfId="113" priority="230">
      <formula>$P$9=2</formula>
    </cfRule>
    <cfRule type="expression" dxfId="112" priority="231">
      <formula>$P$9=1</formula>
    </cfRule>
  </conditionalFormatting>
  <conditionalFormatting sqref="O64:O65">
    <cfRule type="cellIs" dxfId="111" priority="224" stopIfTrue="1" operator="equal">
      <formula>FALSE</formula>
    </cfRule>
    <cfRule type="cellIs" dxfId="110" priority="225" stopIfTrue="1" operator="equal">
      <formula>TRUE</formula>
    </cfRule>
  </conditionalFormatting>
  <conditionalFormatting sqref="P20">
    <cfRule type="expression" dxfId="109" priority="222">
      <formula>$P$9=2</formula>
    </cfRule>
    <cfRule type="expression" dxfId="108" priority="223">
      <formula>$P$9=1</formula>
    </cfRule>
  </conditionalFormatting>
  <conditionalFormatting sqref="O60:O61">
    <cfRule type="cellIs" dxfId="107" priority="220" stopIfTrue="1" operator="equal">
      <formula>FALSE</formula>
    </cfRule>
    <cfRule type="cellIs" dxfId="106" priority="221" stopIfTrue="1" operator="equal">
      <formula>TRUE</formula>
    </cfRule>
  </conditionalFormatting>
  <conditionalFormatting sqref="O9">
    <cfRule type="cellIs" dxfId="105" priority="154" stopIfTrue="1" operator="equal">
      <formula>FALSE</formula>
    </cfRule>
    <cfRule type="cellIs" dxfId="104" priority="155" stopIfTrue="1" operator="equal">
      <formula>TRUE</formula>
    </cfRule>
  </conditionalFormatting>
  <conditionalFormatting sqref="I76">
    <cfRule type="iconSet" priority="141">
      <iconSet iconSet="3Symbols2" showValue="0">
        <cfvo type="percent" val="0"/>
        <cfvo type="num" val="0"/>
        <cfvo type="num" val="1"/>
      </iconSet>
    </cfRule>
  </conditionalFormatting>
  <conditionalFormatting sqref="O18">
    <cfRule type="cellIs" dxfId="103" priority="127" stopIfTrue="1" operator="equal">
      <formula>FALSE</formula>
    </cfRule>
    <cfRule type="cellIs" dxfId="102" priority="128" stopIfTrue="1" operator="equal">
      <formula>TRUE</formula>
    </cfRule>
  </conditionalFormatting>
  <conditionalFormatting sqref="O21:O22">
    <cfRule type="cellIs" dxfId="101" priority="125" stopIfTrue="1" operator="equal">
      <formula>FALSE</formula>
    </cfRule>
    <cfRule type="cellIs" dxfId="100" priority="126" stopIfTrue="1" operator="equal">
      <formula>TRUE</formula>
    </cfRule>
  </conditionalFormatting>
  <conditionalFormatting sqref="O76">
    <cfRule type="cellIs" dxfId="99" priority="123" stopIfTrue="1" operator="equal">
      <formula>FALSE</formula>
    </cfRule>
    <cfRule type="cellIs" dxfId="98" priority="124" stopIfTrue="1" operator="equal">
      <formula>TRUE</formula>
    </cfRule>
  </conditionalFormatting>
  <conditionalFormatting sqref="O87:O89">
    <cfRule type="cellIs" dxfId="97" priority="119" stopIfTrue="1" operator="equal">
      <formula>FALSE</formula>
    </cfRule>
    <cfRule type="cellIs" dxfId="96" priority="120" stopIfTrue="1" operator="equal">
      <formula>TRUE</formula>
    </cfRule>
  </conditionalFormatting>
  <conditionalFormatting sqref="I70:I71">
    <cfRule type="iconSet" priority="85">
      <iconSet iconSet="3Symbols2" showValue="0">
        <cfvo type="percent" val="0"/>
        <cfvo type="num" val="0"/>
        <cfvo type="num" val="1"/>
      </iconSet>
    </cfRule>
  </conditionalFormatting>
  <conditionalFormatting sqref="O47">
    <cfRule type="cellIs" dxfId="95" priority="75" stopIfTrue="1" operator="equal">
      <formula>FALSE</formula>
    </cfRule>
    <cfRule type="cellIs" dxfId="94" priority="76" stopIfTrue="1" operator="equal">
      <formula>TRUE</formula>
    </cfRule>
  </conditionalFormatting>
  <conditionalFormatting sqref="V47">
    <cfRule type="dataBar" priority="74">
      <dataBar>
        <cfvo type="min"/>
        <cfvo type="max"/>
        <color rgb="FF638EC6"/>
      </dataBar>
      <extLst>
        <ext xmlns:x14="http://schemas.microsoft.com/office/spreadsheetml/2009/9/main" uri="{B025F937-C7B1-47D3-B67F-A62EFF666E3E}">
          <x14:id>{1F6A1840-5587-4549-87DF-B471E269897C}</x14:id>
        </ext>
      </extLst>
    </cfRule>
  </conditionalFormatting>
  <conditionalFormatting sqref="O46">
    <cfRule type="cellIs" dxfId="93" priority="72" stopIfTrue="1" operator="equal">
      <formula>FALSE</formula>
    </cfRule>
    <cfRule type="cellIs" dxfId="92" priority="73" stopIfTrue="1" operator="equal">
      <formula>TRUE</formula>
    </cfRule>
  </conditionalFormatting>
  <conditionalFormatting sqref="V46">
    <cfRule type="dataBar" priority="71">
      <dataBar>
        <cfvo type="min"/>
        <cfvo type="max"/>
        <color rgb="FF638EC6"/>
      </dataBar>
      <extLst>
        <ext xmlns:x14="http://schemas.microsoft.com/office/spreadsheetml/2009/9/main" uri="{B025F937-C7B1-47D3-B67F-A62EFF666E3E}">
          <x14:id>{E33D5A46-4AA4-4F20-BDFE-E8CC285AFCC8}</x14:id>
        </ext>
      </extLst>
    </cfRule>
  </conditionalFormatting>
  <conditionalFormatting sqref="O44">
    <cfRule type="cellIs" dxfId="91" priority="69" stopIfTrue="1" operator="equal">
      <formula>FALSE</formula>
    </cfRule>
    <cfRule type="cellIs" dxfId="90" priority="70" stopIfTrue="1" operator="equal">
      <formula>TRUE</formula>
    </cfRule>
  </conditionalFormatting>
  <conditionalFormatting sqref="V48:V102 V11:V45">
    <cfRule type="dataBar" priority="462">
      <dataBar>
        <cfvo type="min"/>
        <cfvo type="max"/>
        <color rgb="FF638EC6"/>
      </dataBar>
      <extLst>
        <ext xmlns:x14="http://schemas.microsoft.com/office/spreadsheetml/2009/9/main" uri="{B025F937-C7B1-47D3-B67F-A62EFF666E3E}">
          <x14:id>{3AFE25C5-B293-4B79-A994-B67C5D1D7865}</x14:id>
        </ext>
      </extLst>
    </cfRule>
  </conditionalFormatting>
  <conditionalFormatting sqref="H89">
    <cfRule type="expression" dxfId="89" priority="63">
      <formula>Standort=5</formula>
    </cfRule>
    <cfRule type="expression" dxfId="88" priority="64">
      <formula>Standort=4</formula>
    </cfRule>
    <cfRule type="expression" dxfId="87" priority="65">
      <formula>Standort=3</formula>
    </cfRule>
    <cfRule type="expression" dxfId="86" priority="66">
      <formula>OR(Standort=2,Standort=6)</formula>
    </cfRule>
    <cfRule type="expression" dxfId="85" priority="67">
      <formula>Standort=1</formula>
    </cfRule>
  </conditionalFormatting>
  <conditionalFormatting sqref="H96">
    <cfRule type="expression" dxfId="84" priority="58">
      <formula>Standort=5</formula>
    </cfRule>
    <cfRule type="expression" dxfId="83" priority="59">
      <formula>Standort=4</formula>
    </cfRule>
    <cfRule type="expression" dxfId="82" priority="60">
      <formula>Standort=3</formula>
    </cfRule>
    <cfRule type="expression" dxfId="81" priority="61">
      <formula>OR(Standort=2,Standort=6)</formula>
    </cfRule>
    <cfRule type="expression" dxfId="80" priority="62">
      <formula>Standort=1</formula>
    </cfRule>
  </conditionalFormatting>
  <conditionalFormatting sqref="H101">
    <cfRule type="expression" dxfId="79" priority="53">
      <formula>Standort=5</formula>
    </cfRule>
    <cfRule type="expression" dxfId="78" priority="54">
      <formula>Standort=4</formula>
    </cfRule>
    <cfRule type="expression" dxfId="77" priority="55">
      <formula>Standort=3</formula>
    </cfRule>
    <cfRule type="expression" dxfId="76" priority="56">
      <formula>OR(Standort=2,Standort=6)</formula>
    </cfRule>
    <cfRule type="expression" dxfId="75" priority="57">
      <formula>Standort=1</formula>
    </cfRule>
  </conditionalFormatting>
  <conditionalFormatting sqref="W47">
    <cfRule type="dataBar" priority="45">
      <dataBar>
        <cfvo type="min"/>
        <cfvo type="max"/>
        <color rgb="FF638EC6"/>
      </dataBar>
      <extLst>
        <ext xmlns:x14="http://schemas.microsoft.com/office/spreadsheetml/2009/9/main" uri="{B025F937-C7B1-47D3-B67F-A62EFF666E3E}">
          <x14:id>{F257B8C1-7DFE-4329-87F6-842D38D4ADDC}</x14:id>
        </ext>
      </extLst>
    </cfRule>
  </conditionalFormatting>
  <conditionalFormatting sqref="W46">
    <cfRule type="dataBar" priority="44">
      <dataBar>
        <cfvo type="min"/>
        <cfvo type="max"/>
        <color rgb="FF638EC6"/>
      </dataBar>
      <extLst>
        <ext xmlns:x14="http://schemas.microsoft.com/office/spreadsheetml/2009/9/main" uri="{B025F937-C7B1-47D3-B67F-A62EFF666E3E}">
          <x14:id>{8DA77D78-3D92-4BD2-87BA-2939C0311BA9}</x14:id>
        </ext>
      </extLst>
    </cfRule>
  </conditionalFormatting>
  <conditionalFormatting sqref="W48:W49 W11:W45 W51:W102">
    <cfRule type="dataBar" priority="46">
      <dataBar>
        <cfvo type="min"/>
        <cfvo type="max"/>
        <color rgb="FF638EC6"/>
      </dataBar>
      <extLst>
        <ext xmlns:x14="http://schemas.microsoft.com/office/spreadsheetml/2009/9/main" uri="{B025F937-C7B1-47D3-B67F-A62EFF666E3E}">
          <x14:id>{AFBD2541-9153-4DF7-B1EA-D8E39ADEA349}</x14:id>
        </ext>
      </extLst>
    </cfRule>
  </conditionalFormatting>
  <conditionalFormatting sqref="W50">
    <cfRule type="dataBar" priority="43">
      <dataBar>
        <cfvo type="min"/>
        <cfvo type="max"/>
        <color rgb="FF638EC6"/>
      </dataBar>
      <extLst>
        <ext xmlns:x14="http://schemas.microsoft.com/office/spreadsheetml/2009/9/main" uri="{B025F937-C7B1-47D3-B67F-A62EFF666E3E}">
          <x14:id>{C086398A-AD19-4C59-9B54-C59DFADAD070}</x14:id>
        </ext>
      </extLst>
    </cfRule>
  </conditionalFormatting>
  <conditionalFormatting sqref="X47">
    <cfRule type="dataBar" priority="41">
      <dataBar>
        <cfvo type="min"/>
        <cfvo type="max"/>
        <color rgb="FF638EC6"/>
      </dataBar>
      <extLst>
        <ext xmlns:x14="http://schemas.microsoft.com/office/spreadsheetml/2009/9/main" uri="{B025F937-C7B1-47D3-B67F-A62EFF666E3E}">
          <x14:id>{C90957D7-D7CE-4C54-9690-9006ABFCAE2E}</x14:id>
        </ext>
      </extLst>
    </cfRule>
  </conditionalFormatting>
  <conditionalFormatting sqref="X46">
    <cfRule type="dataBar" priority="40">
      <dataBar>
        <cfvo type="min"/>
        <cfvo type="max"/>
        <color rgb="FF638EC6"/>
      </dataBar>
      <extLst>
        <ext xmlns:x14="http://schemas.microsoft.com/office/spreadsheetml/2009/9/main" uri="{B025F937-C7B1-47D3-B67F-A62EFF666E3E}">
          <x14:id>{CCFC5A4E-A058-4D2B-8FF0-63A9528437E4}</x14:id>
        </ext>
      </extLst>
    </cfRule>
  </conditionalFormatting>
  <conditionalFormatting sqref="X48:X49 X11:X45 X51:X102">
    <cfRule type="dataBar" priority="42">
      <dataBar>
        <cfvo type="min"/>
        <cfvo type="max"/>
        <color rgb="FF638EC6"/>
      </dataBar>
      <extLst>
        <ext xmlns:x14="http://schemas.microsoft.com/office/spreadsheetml/2009/9/main" uri="{B025F937-C7B1-47D3-B67F-A62EFF666E3E}">
          <x14:id>{DBEDE424-1A2A-49E3-A9ED-CBD98B3A9680}</x14:id>
        </ext>
      </extLst>
    </cfRule>
  </conditionalFormatting>
  <conditionalFormatting sqref="X50">
    <cfRule type="dataBar" priority="39">
      <dataBar>
        <cfvo type="min"/>
        <cfvo type="max"/>
        <color rgb="FF638EC6"/>
      </dataBar>
      <extLst>
        <ext xmlns:x14="http://schemas.microsoft.com/office/spreadsheetml/2009/9/main" uri="{B025F937-C7B1-47D3-B67F-A62EFF666E3E}">
          <x14:id>{436123AE-DD06-400C-B66C-0A3559AD83FC}</x14:id>
        </ext>
      </extLst>
    </cfRule>
  </conditionalFormatting>
  <conditionalFormatting sqref="Y47">
    <cfRule type="dataBar" priority="37">
      <dataBar>
        <cfvo type="min"/>
        <cfvo type="max"/>
        <color rgb="FF638EC6"/>
      </dataBar>
      <extLst>
        <ext xmlns:x14="http://schemas.microsoft.com/office/spreadsheetml/2009/9/main" uri="{B025F937-C7B1-47D3-B67F-A62EFF666E3E}">
          <x14:id>{698D342B-0CB8-409B-BA19-F35137C7771F}</x14:id>
        </ext>
      </extLst>
    </cfRule>
  </conditionalFormatting>
  <conditionalFormatting sqref="Y46">
    <cfRule type="dataBar" priority="36">
      <dataBar>
        <cfvo type="min"/>
        <cfvo type="max"/>
        <color rgb="FF638EC6"/>
      </dataBar>
      <extLst>
        <ext xmlns:x14="http://schemas.microsoft.com/office/spreadsheetml/2009/9/main" uri="{B025F937-C7B1-47D3-B67F-A62EFF666E3E}">
          <x14:id>{8A090A2A-A436-4E23-8CF4-CE6A737D42C5}</x14:id>
        </ext>
      </extLst>
    </cfRule>
  </conditionalFormatting>
  <conditionalFormatting sqref="Y48:Y49 Y11:Y45 Y51:Y102">
    <cfRule type="dataBar" priority="38">
      <dataBar>
        <cfvo type="min"/>
        <cfvo type="max"/>
        <color rgb="FF638EC6"/>
      </dataBar>
      <extLst>
        <ext xmlns:x14="http://schemas.microsoft.com/office/spreadsheetml/2009/9/main" uri="{B025F937-C7B1-47D3-B67F-A62EFF666E3E}">
          <x14:id>{A31C6C14-5FC5-4A40-BA84-D94A0D25F78D}</x14:id>
        </ext>
      </extLst>
    </cfRule>
  </conditionalFormatting>
  <conditionalFormatting sqref="Y50">
    <cfRule type="dataBar" priority="35">
      <dataBar>
        <cfvo type="min"/>
        <cfvo type="max"/>
        <color rgb="FF638EC6"/>
      </dataBar>
      <extLst>
        <ext xmlns:x14="http://schemas.microsoft.com/office/spreadsheetml/2009/9/main" uri="{B025F937-C7B1-47D3-B67F-A62EFF666E3E}">
          <x14:id>{DC6735D1-C132-4A1C-9B46-EC2C45C255B6}</x14:id>
        </ext>
      </extLst>
    </cfRule>
  </conditionalFormatting>
  <conditionalFormatting sqref="O23">
    <cfRule type="cellIs" dxfId="74" priority="22" stopIfTrue="1" operator="equal">
      <formula>FALSE</formula>
    </cfRule>
    <cfRule type="cellIs" dxfId="73" priority="23" stopIfTrue="1" operator="equal">
      <formula>TRUE</formula>
    </cfRule>
  </conditionalFormatting>
  <conditionalFormatting sqref="O86">
    <cfRule type="cellIs" dxfId="72" priority="13" stopIfTrue="1" operator="equal">
      <formula>FALSE</formula>
    </cfRule>
    <cfRule type="cellIs" dxfId="71" priority="14" stopIfTrue="1" operator="equal">
      <formula>TRUE</formula>
    </cfRule>
  </conditionalFormatting>
  <conditionalFormatting sqref="H65:H66">
    <cfRule type="expression" dxfId="70" priority="1">
      <formula>$H$64=0</formula>
    </cfRule>
  </conditionalFormatting>
  <dataValidations count="2">
    <dataValidation type="whole" operator="greaterThan" allowBlank="1" showInputMessage="1" showErrorMessage="1" sqref="H66" xr:uid="{A73CC333-4ADC-435E-AC94-A8B74E97EED4}">
      <formula1>0</formula1>
    </dataValidation>
    <dataValidation allowBlank="1" showErrorMessage="1" sqref="H6" xr:uid="{ACF7F83B-0151-44C8-B088-934AE516C613}"/>
  </dataValidations>
  <hyperlinks>
    <hyperlink ref="G20" location="Substrates!F111" display="Substrates!F111" xr:uid="{00000000-0004-0000-0200-000001000000}"/>
    <hyperlink ref="G15" location="Substrates!H8" display="Substrates!H8" xr:uid="{00000000-0004-0000-0200-000002000000}"/>
    <hyperlink ref="G10" location="'Plant types'!A1" display="'Plant types'!A1" xr:uid="{00000000-0004-0000-0200-000004000000}"/>
    <hyperlink ref="G18" location="Substrates!F100" display="Substrates!F100" xr:uid="{00000000-0004-0000-0200-000006000000}"/>
    <hyperlink ref="G17" location="Substrates!F93" display="Substrates!F93" xr:uid="{D036CB6E-256E-4AF0-B49A-412FEE11E440}"/>
    <hyperlink ref="G19" location="Substrates!F107" display="Substrates!F107" xr:uid="{D2730896-B69E-4B05-A536-1D362D2ADE84}"/>
    <hyperlink ref="G22" location="Substrates!F124" display="Substrates!F124" xr:uid="{641FEC70-01B6-4702-9CCD-515858BD3C30}"/>
    <hyperlink ref="G21" location="Substrates!F118" display="Substrates!F118" xr:uid="{BD99F16B-92EA-41B9-8DEC-52F6481240E2}"/>
    <hyperlink ref="G106" location="Results!A1" display="Results!A1" xr:uid="{D23F97AB-46C2-4A86-B60C-5AB6F1E9D307}"/>
    <hyperlink ref="N13" location="Substrates!H8" display="Substrates!H8" xr:uid="{0AF3275A-E42C-42FC-A72D-DA282A134BD9}"/>
    <hyperlink ref="U43" r:id="rId1" display="Werte aus naturemade Zertifizierungsbericht" xr:uid="{653DD47A-C0F0-4B98-AE2C-7689F3CC8B1F}"/>
    <hyperlink ref="G8" location="Info!E7" display="Info!E7" xr:uid="{CEBD9FC5-B203-4FEE-8164-8A18C0ADAAE4}"/>
    <hyperlink ref="G16" location="Substrates!F25" display="Substrates!F25" xr:uid="{D74ADAD5-8124-420F-8E53-A6120027D644}"/>
  </hyperlinks>
  <printOptions horizontalCentered="1" verticalCentered="1"/>
  <pageMargins left="0.78740157480314965" right="0.78740157480314965" top="0.78740157480314965" bottom="0.82677165354330717" header="0.51181102362204722" footer="0.51181102362204722"/>
  <pageSetup paperSize="9" scale="40" orientation="portrait" r:id="rId2"/>
  <headerFooter alignWithMargins="0">
    <oddHeader>&amp;LInputs&amp;Cnaturemade star key parameter model: energy products from biogas plants &amp;R&amp;D</oddHeader>
    <oddFooter>&amp;L(c) ESU-services GmbH&amp;Cwww.esu-services.ch&amp;R&amp;F</oddFooter>
  </headerFooter>
  <legacyDrawing r:id="rId3"/>
  <extLst>
    <ext xmlns:x14="http://schemas.microsoft.com/office/spreadsheetml/2009/9/main" uri="{78C0D931-6437-407d-A8EE-F0AAD7539E65}">
      <x14:conditionalFormattings>
        <x14:conditionalFormatting xmlns:xm="http://schemas.microsoft.com/office/excel/2006/main">
          <x14:cfRule type="dataBar" id="{1F6A1840-5587-4549-87DF-B471E269897C}">
            <x14:dataBar minLength="0" maxLength="100" border="1" negativeBarBorderColorSameAsPositive="0">
              <x14:cfvo type="autoMin"/>
              <x14:cfvo type="autoMax"/>
              <x14:borderColor rgb="FF638EC6"/>
              <x14:negativeFillColor rgb="FFFF0000"/>
              <x14:negativeBorderColor rgb="FFFF0000"/>
              <x14:axisColor rgb="FF000000"/>
            </x14:dataBar>
          </x14:cfRule>
          <xm:sqref>V47</xm:sqref>
        </x14:conditionalFormatting>
        <x14:conditionalFormatting xmlns:xm="http://schemas.microsoft.com/office/excel/2006/main">
          <x14:cfRule type="dataBar" id="{E33D5A46-4AA4-4F20-BDFE-E8CC285AFCC8}">
            <x14:dataBar minLength="0" maxLength="100" border="1" negativeBarBorderColorSameAsPositive="0">
              <x14:cfvo type="autoMin"/>
              <x14:cfvo type="autoMax"/>
              <x14:borderColor rgb="FF638EC6"/>
              <x14:negativeFillColor rgb="FFFF0000"/>
              <x14:negativeBorderColor rgb="FFFF0000"/>
              <x14:axisColor rgb="FF000000"/>
            </x14:dataBar>
          </x14:cfRule>
          <xm:sqref>V46</xm:sqref>
        </x14:conditionalFormatting>
        <x14:conditionalFormatting xmlns:xm="http://schemas.microsoft.com/office/excel/2006/main">
          <x14:cfRule type="dataBar" id="{3AFE25C5-B293-4B79-A994-B67C5D1D7865}">
            <x14:dataBar minLength="0" maxLength="100" border="1" negativeBarBorderColorSameAsPositive="0">
              <x14:cfvo type="autoMin"/>
              <x14:cfvo type="autoMax"/>
              <x14:borderColor rgb="FF638EC6"/>
              <x14:negativeFillColor rgb="FFFF0000"/>
              <x14:negativeBorderColor rgb="FFFF0000"/>
              <x14:axisColor rgb="FF000000"/>
            </x14:dataBar>
          </x14:cfRule>
          <xm:sqref>V48:V102 V11:V45</xm:sqref>
        </x14:conditionalFormatting>
        <x14:conditionalFormatting xmlns:xm="http://schemas.microsoft.com/office/excel/2006/main">
          <x14:cfRule type="dataBar" id="{F257B8C1-7DFE-4329-87F6-842D38D4ADDC}">
            <x14:dataBar minLength="0" maxLength="100" border="1" negativeBarBorderColorSameAsPositive="0">
              <x14:cfvo type="autoMin"/>
              <x14:cfvo type="autoMax"/>
              <x14:borderColor rgb="FF638EC6"/>
              <x14:negativeFillColor rgb="FFFF0000"/>
              <x14:negativeBorderColor rgb="FFFF0000"/>
              <x14:axisColor rgb="FF000000"/>
            </x14:dataBar>
          </x14:cfRule>
          <xm:sqref>W47</xm:sqref>
        </x14:conditionalFormatting>
        <x14:conditionalFormatting xmlns:xm="http://schemas.microsoft.com/office/excel/2006/main">
          <x14:cfRule type="dataBar" id="{8DA77D78-3D92-4BD2-87BA-2939C0311BA9}">
            <x14:dataBar minLength="0" maxLength="100" border="1" negativeBarBorderColorSameAsPositive="0">
              <x14:cfvo type="autoMin"/>
              <x14:cfvo type="autoMax"/>
              <x14:borderColor rgb="FF638EC6"/>
              <x14:negativeFillColor rgb="FFFF0000"/>
              <x14:negativeBorderColor rgb="FFFF0000"/>
              <x14:axisColor rgb="FF000000"/>
            </x14:dataBar>
          </x14:cfRule>
          <xm:sqref>W46</xm:sqref>
        </x14:conditionalFormatting>
        <x14:conditionalFormatting xmlns:xm="http://schemas.microsoft.com/office/excel/2006/main">
          <x14:cfRule type="dataBar" id="{AFBD2541-9153-4DF7-B1EA-D8E39ADEA349}">
            <x14:dataBar minLength="0" maxLength="100" border="1" negativeBarBorderColorSameAsPositive="0">
              <x14:cfvo type="autoMin"/>
              <x14:cfvo type="autoMax"/>
              <x14:borderColor rgb="FF638EC6"/>
              <x14:negativeFillColor rgb="FFFF0000"/>
              <x14:negativeBorderColor rgb="FFFF0000"/>
              <x14:axisColor rgb="FF000000"/>
            </x14:dataBar>
          </x14:cfRule>
          <xm:sqref>W48:W49 W11:W45 W51:W102</xm:sqref>
        </x14:conditionalFormatting>
        <x14:conditionalFormatting xmlns:xm="http://schemas.microsoft.com/office/excel/2006/main">
          <x14:cfRule type="dataBar" id="{C086398A-AD19-4C59-9B54-C59DFADAD070}">
            <x14:dataBar minLength="0" maxLength="100" border="1" negativeBarBorderColorSameAsPositive="0">
              <x14:cfvo type="autoMin"/>
              <x14:cfvo type="autoMax"/>
              <x14:borderColor rgb="FF638EC6"/>
              <x14:negativeFillColor rgb="FFFF0000"/>
              <x14:negativeBorderColor rgb="FFFF0000"/>
              <x14:axisColor rgb="FF000000"/>
            </x14:dataBar>
          </x14:cfRule>
          <xm:sqref>W50</xm:sqref>
        </x14:conditionalFormatting>
        <x14:conditionalFormatting xmlns:xm="http://schemas.microsoft.com/office/excel/2006/main">
          <x14:cfRule type="dataBar" id="{C90957D7-D7CE-4C54-9690-9006ABFCAE2E}">
            <x14:dataBar minLength="0" maxLength="100" border="1" negativeBarBorderColorSameAsPositive="0">
              <x14:cfvo type="autoMin"/>
              <x14:cfvo type="autoMax"/>
              <x14:borderColor rgb="FF638EC6"/>
              <x14:negativeFillColor rgb="FFFF0000"/>
              <x14:negativeBorderColor rgb="FFFF0000"/>
              <x14:axisColor rgb="FF000000"/>
            </x14:dataBar>
          </x14:cfRule>
          <xm:sqref>X47</xm:sqref>
        </x14:conditionalFormatting>
        <x14:conditionalFormatting xmlns:xm="http://schemas.microsoft.com/office/excel/2006/main">
          <x14:cfRule type="dataBar" id="{CCFC5A4E-A058-4D2B-8FF0-63A9528437E4}">
            <x14:dataBar minLength="0" maxLength="100" border="1" negativeBarBorderColorSameAsPositive="0">
              <x14:cfvo type="autoMin"/>
              <x14:cfvo type="autoMax"/>
              <x14:borderColor rgb="FF638EC6"/>
              <x14:negativeFillColor rgb="FFFF0000"/>
              <x14:negativeBorderColor rgb="FFFF0000"/>
              <x14:axisColor rgb="FF000000"/>
            </x14:dataBar>
          </x14:cfRule>
          <xm:sqref>X46</xm:sqref>
        </x14:conditionalFormatting>
        <x14:conditionalFormatting xmlns:xm="http://schemas.microsoft.com/office/excel/2006/main">
          <x14:cfRule type="dataBar" id="{DBEDE424-1A2A-49E3-A9ED-CBD98B3A9680}">
            <x14:dataBar minLength="0" maxLength="100" border="1" negativeBarBorderColorSameAsPositive="0">
              <x14:cfvo type="autoMin"/>
              <x14:cfvo type="autoMax"/>
              <x14:borderColor rgb="FF638EC6"/>
              <x14:negativeFillColor rgb="FFFF0000"/>
              <x14:negativeBorderColor rgb="FFFF0000"/>
              <x14:axisColor rgb="FF000000"/>
            </x14:dataBar>
          </x14:cfRule>
          <xm:sqref>X48:X49 X11:X45 X51:X102</xm:sqref>
        </x14:conditionalFormatting>
        <x14:conditionalFormatting xmlns:xm="http://schemas.microsoft.com/office/excel/2006/main">
          <x14:cfRule type="dataBar" id="{436123AE-DD06-400C-B66C-0A3559AD83FC}">
            <x14:dataBar minLength="0" maxLength="100" border="1" negativeBarBorderColorSameAsPositive="0">
              <x14:cfvo type="autoMin"/>
              <x14:cfvo type="autoMax"/>
              <x14:borderColor rgb="FF638EC6"/>
              <x14:negativeFillColor rgb="FFFF0000"/>
              <x14:negativeBorderColor rgb="FFFF0000"/>
              <x14:axisColor rgb="FF000000"/>
            </x14:dataBar>
          </x14:cfRule>
          <xm:sqref>X50</xm:sqref>
        </x14:conditionalFormatting>
        <x14:conditionalFormatting xmlns:xm="http://schemas.microsoft.com/office/excel/2006/main">
          <x14:cfRule type="dataBar" id="{698D342B-0CB8-409B-BA19-F35137C7771F}">
            <x14:dataBar minLength="0" maxLength="100" border="1" negativeBarBorderColorSameAsPositive="0">
              <x14:cfvo type="autoMin"/>
              <x14:cfvo type="autoMax"/>
              <x14:borderColor rgb="FF638EC6"/>
              <x14:negativeFillColor rgb="FFFF0000"/>
              <x14:negativeBorderColor rgb="FFFF0000"/>
              <x14:axisColor rgb="FF000000"/>
            </x14:dataBar>
          </x14:cfRule>
          <xm:sqref>Y47</xm:sqref>
        </x14:conditionalFormatting>
        <x14:conditionalFormatting xmlns:xm="http://schemas.microsoft.com/office/excel/2006/main">
          <x14:cfRule type="dataBar" id="{8A090A2A-A436-4E23-8CF4-CE6A737D42C5}">
            <x14:dataBar minLength="0" maxLength="100" border="1" negativeBarBorderColorSameAsPositive="0">
              <x14:cfvo type="autoMin"/>
              <x14:cfvo type="autoMax"/>
              <x14:borderColor rgb="FF638EC6"/>
              <x14:negativeFillColor rgb="FFFF0000"/>
              <x14:negativeBorderColor rgb="FFFF0000"/>
              <x14:axisColor rgb="FF000000"/>
            </x14:dataBar>
          </x14:cfRule>
          <xm:sqref>Y46</xm:sqref>
        </x14:conditionalFormatting>
        <x14:conditionalFormatting xmlns:xm="http://schemas.microsoft.com/office/excel/2006/main">
          <x14:cfRule type="dataBar" id="{A31C6C14-5FC5-4A40-BA84-D94A0D25F78D}">
            <x14:dataBar minLength="0" maxLength="100" border="1" negativeBarBorderColorSameAsPositive="0">
              <x14:cfvo type="autoMin"/>
              <x14:cfvo type="autoMax"/>
              <x14:borderColor rgb="FF638EC6"/>
              <x14:negativeFillColor rgb="FFFF0000"/>
              <x14:negativeBorderColor rgb="FFFF0000"/>
              <x14:axisColor rgb="FF000000"/>
            </x14:dataBar>
          </x14:cfRule>
          <xm:sqref>Y48:Y49 Y11:Y45 Y51:Y102</xm:sqref>
        </x14:conditionalFormatting>
        <x14:conditionalFormatting xmlns:xm="http://schemas.microsoft.com/office/excel/2006/main">
          <x14:cfRule type="dataBar" id="{DC6735D1-C132-4A1C-9B46-EC2C45C255B6}">
            <x14:dataBar minLength="0" maxLength="100" border="1" negativeBarBorderColorSameAsPositive="0">
              <x14:cfvo type="autoMin"/>
              <x14:cfvo type="autoMax"/>
              <x14:borderColor rgb="FF638EC6"/>
              <x14:negativeFillColor rgb="FFFF0000"/>
              <x14:negativeBorderColor rgb="FFFF0000"/>
              <x14:axisColor rgb="FF000000"/>
            </x14:dataBar>
          </x14:cfRule>
          <xm:sqref>Y50</xm:sqref>
        </x14:conditionalFormatting>
        <x14:conditionalFormatting xmlns:xm="http://schemas.microsoft.com/office/excel/2006/main">
          <x14:cfRule type="iconSet" priority="115" id="{A49DF326-1A43-4693-B9F1-EB7BBB84E9FE}">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I88</xm:sqref>
        </x14:conditionalFormatting>
        <x14:conditionalFormatting xmlns:xm="http://schemas.microsoft.com/office/excel/2006/main">
          <x14:cfRule type="iconSet" priority="113" id="{480B0DB1-7114-445F-BE28-C57FA2BA1891}">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I102</xm:sqref>
        </x14:conditionalFormatting>
        <x14:conditionalFormatting xmlns:xm="http://schemas.microsoft.com/office/excel/2006/main">
          <x14:cfRule type="iconSet" priority="109" id="{876CFEE6-8778-4B1D-B9EF-FEB3089E1012}">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I78</xm:sqref>
        </x14:conditionalFormatting>
        <x14:conditionalFormatting xmlns:xm="http://schemas.microsoft.com/office/excel/2006/main">
          <x14:cfRule type="iconSet" priority="108" id="{D5E4BE60-D6CE-4624-87D7-62F27BE22729}">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I77</xm:sqref>
        </x14:conditionalFormatting>
        <x14:conditionalFormatting xmlns:xm="http://schemas.microsoft.com/office/excel/2006/main">
          <x14:cfRule type="iconSet" priority="107" id="{C39B4D2C-F943-404D-9246-06E81DA62564}">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I73</xm:sqref>
        </x14:conditionalFormatting>
        <x14:conditionalFormatting xmlns:xm="http://schemas.microsoft.com/office/excel/2006/main">
          <x14:cfRule type="iconSet" priority="106" id="{D162EB72-FD3A-4927-9898-EBE47E3D9043}">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I67</xm:sqref>
        </x14:conditionalFormatting>
        <x14:conditionalFormatting xmlns:xm="http://schemas.microsoft.com/office/excel/2006/main">
          <x14:cfRule type="iconSet" priority="105" id="{6AB34A6D-DB54-4C46-8BDE-215338B51E80}">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I66</xm:sqref>
        </x14:conditionalFormatting>
        <x14:conditionalFormatting xmlns:xm="http://schemas.microsoft.com/office/excel/2006/main">
          <x14:cfRule type="iconSet" priority="103" id="{EAA72C87-CB66-43E6-A7F3-FFEF063EB989}">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I60:I61</xm:sqref>
        </x14:conditionalFormatting>
        <x14:conditionalFormatting xmlns:xm="http://schemas.microsoft.com/office/excel/2006/main">
          <x14:cfRule type="iconSet" priority="102" id="{C2913CDB-0C65-4F6A-BD37-445C3E125B6A}">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I9 I11</xm:sqref>
        </x14:conditionalFormatting>
        <x14:conditionalFormatting xmlns:xm="http://schemas.microsoft.com/office/excel/2006/main">
          <x14:cfRule type="iconSet" priority="101" id="{FB02B410-2FDB-4475-9211-FCAD30D80DDE}">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I19</xm:sqref>
        </x14:conditionalFormatting>
        <x14:conditionalFormatting xmlns:xm="http://schemas.microsoft.com/office/excel/2006/main">
          <x14:cfRule type="iconSet" priority="100" id="{1CDEBFBD-62A4-4FD7-9BBB-B729917ECA0D}">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I24</xm:sqref>
        </x14:conditionalFormatting>
        <x14:conditionalFormatting xmlns:xm="http://schemas.microsoft.com/office/excel/2006/main">
          <x14:cfRule type="iconSet" priority="89" id="{9E077C0E-64D7-45AE-87B2-3800031994DD}">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I100</xm:sqref>
        </x14:conditionalFormatting>
        <x14:conditionalFormatting xmlns:xm="http://schemas.microsoft.com/office/excel/2006/main">
          <x14:cfRule type="iconSet" priority="457" id="{35654EB4-01BD-4B3D-B162-0306BF9C4467}">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I58</xm:sqref>
        </x14:conditionalFormatting>
        <x14:conditionalFormatting xmlns:xm="http://schemas.microsoft.com/office/excel/2006/main">
          <x14:cfRule type="iconSet" priority="34" id="{0E3BE2FA-4A09-4DC0-97A9-ABF1E41E4CC8}">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I7</xm:sqref>
        </x14:conditionalFormatting>
        <x14:conditionalFormatting xmlns:xm="http://schemas.microsoft.com/office/excel/2006/main">
          <x14:cfRule type="iconSet" priority="33" id="{FC57BF84-45E6-40B9-BD0E-8BAAC2E74913}">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I6</xm:sqref>
        </x14:conditionalFormatting>
        <x14:conditionalFormatting xmlns:xm="http://schemas.microsoft.com/office/excel/2006/main">
          <x14:cfRule type="iconSet" priority="21" id="{97962666-24AD-4C06-8D80-A774EBE1D4CC}">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I23</xm:sqref>
        </x14:conditionalFormatting>
        <x14:conditionalFormatting xmlns:xm="http://schemas.microsoft.com/office/excel/2006/main">
          <x14:cfRule type="iconSet" priority="20" id="{80508304-D0E9-4664-8043-56A5D088CD23}">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I10</xm:sqref>
        </x14:conditionalFormatting>
        <x14:conditionalFormatting xmlns:xm="http://schemas.microsoft.com/office/excel/2006/main">
          <x14:cfRule type="iconSet" priority="19" id="{02A5DAC2-5C71-49DA-936A-0407196C9672}">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I65</xm:sqref>
        </x14:conditionalFormatting>
        <x14:conditionalFormatting xmlns:xm="http://schemas.microsoft.com/office/excel/2006/main">
          <x14:cfRule type="iconSet" priority="18" id="{2E61B767-A8BF-4189-982D-10364BD0ADB8}">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I86</xm:sqref>
        </x14:conditionalFormatting>
        <x14:conditionalFormatting xmlns:xm="http://schemas.microsoft.com/office/excel/2006/main">
          <x14:cfRule type="iconSet" priority="17" id="{3DC50025-6DAA-44CE-BFE1-51DFB077A5E6}">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I87</xm:sqref>
        </x14:conditionalFormatting>
        <x14:conditionalFormatting xmlns:xm="http://schemas.microsoft.com/office/excel/2006/main">
          <x14:cfRule type="iconSet" priority="16" id="{6901E227-2840-486A-9EFB-784E25AB1055}">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I93</xm:sqref>
        </x14:conditionalFormatting>
        <x14:conditionalFormatting xmlns:xm="http://schemas.microsoft.com/office/excel/2006/main">
          <x14:cfRule type="iconSet" priority="15" id="{02D0EDBC-0784-4E9E-A744-D8FF88E60B61}">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I94</xm:sqref>
        </x14:conditionalFormatting>
        <x14:conditionalFormatting xmlns:xm="http://schemas.microsoft.com/office/excel/2006/main">
          <x14:cfRule type="iconSet" priority="12" id="{9E29118C-5263-4613-8A64-58B3C7452D17}">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I95</xm:sqref>
        </x14:conditionalFormatting>
        <x14:conditionalFormatting xmlns:xm="http://schemas.microsoft.com/office/excel/2006/main">
          <x14:cfRule type="iconSet" priority="11" id="{401A9594-4341-49E1-BD68-6B3003B3621E}">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I8</xm:sqref>
        </x14:conditionalFormatting>
        <x14:conditionalFormatting xmlns:xm="http://schemas.microsoft.com/office/excel/2006/main">
          <x14:cfRule type="iconSet" priority="9" id="{FD3263ED-1028-40A2-951C-197EF3BC236A}">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I105</xm:sqref>
        </x14:conditionalFormatting>
        <x14:conditionalFormatting xmlns:xm="http://schemas.microsoft.com/office/excel/2006/main">
          <x14:cfRule type="iconSet" priority="8" id="{23D6B520-E9C5-4AC6-B799-14CF80955557}">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I59</xm:sqref>
        </x14:conditionalFormatting>
        <x14:conditionalFormatting xmlns:xm="http://schemas.microsoft.com/office/excel/2006/main">
          <x14:cfRule type="iconSet" priority="7" id="{9131AD2F-FAAE-485D-99ED-FDEEF98C319D}">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I81</xm:sqref>
        </x14:conditionalFormatting>
        <x14:conditionalFormatting xmlns:xm="http://schemas.microsoft.com/office/excel/2006/main">
          <x14:cfRule type="iconSet" priority="6" id="{F7EACA91-C76D-49AD-A66B-68D9934A0293}">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I72</xm:sqref>
        </x14:conditionalFormatting>
        <x14:conditionalFormatting xmlns:xm="http://schemas.microsoft.com/office/excel/2006/main">
          <x14:cfRule type="iconSet" priority="3" id="{7DFEAF3F-2CDA-4526-A3B4-20721C958054}">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I79</xm:sqref>
        </x14:conditionalFormatting>
        <x14:conditionalFormatting xmlns:xm="http://schemas.microsoft.com/office/excel/2006/main">
          <x14:cfRule type="iconSet" priority="2" id="{DCF1E1C2-562F-4E75-B40B-3B36DED42CD8}">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I64</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ErrorMessage="1" promptTitle="Anlagentyp" prompt="Bitte wählen Sie die Art der Anlage." xr:uid="{EB4B616B-051E-49DA-9326-9174D55CEEE6}">
          <x14:formula1>
            <xm:f>menuesBG!$F$57:$F$59</xm:f>
          </x14:formula1>
          <xm:sqref>H10</xm:sqref>
        </x14:dataValidation>
        <x14:dataValidation type="list" allowBlank="1" showErrorMessage="1" promptTitle="Behandlung" prompt="Wie wird das feste Gärgut behandelt?" xr:uid="{F7AC6F8B-65A1-4806-83B6-B21D7EAD082E}">
          <x14:formula1>
            <xm:f>menuesBG!$F$65:$F$69</xm:f>
          </x14:formula1>
          <xm:sqref>H86</xm:sqref>
        </x14:dataValidation>
        <x14:dataValidation type="list" allowBlank="1" showErrorMessage="1" promptTitle="Behandlung" prompt="Wie wird das flüssige Gärgut behandelt?" xr:uid="{C7FF2C2B-0F5A-4D2F-8F52-B2F9D1B4165D}">
          <x14:formula1>
            <xm:f>menuesBG!$F$71:$F$73</xm:f>
          </x14:formula1>
          <xm:sqref>H93</xm:sqref>
        </x14:dataValidation>
        <x14:dataValidation type="list" allowBlank="1" showErrorMessage="1" promptTitle="Verwendung" prompt="Wie wird das feste Gärgut verwendet?" xr:uid="{7646F812-FFAF-4629-B619-59E167532CBB}">
          <x14:formula1>
            <xm:f>menuesBG!$F$95:$F$98</xm:f>
          </x14:formula1>
          <xm:sqref>H87</xm:sqref>
        </x14:dataValidation>
        <x14:dataValidation type="list" allowBlank="1" showErrorMessage="1" promptTitle="Standort" prompt="Bitte wählen Sie die das Land in dem die Anlage steht." xr:uid="{51A5611A-77B2-44F1-81EE-6B2BD8A7B000}">
          <x14:formula1>
            <xm:f>menuesBG!$F$108:$F$114</xm:f>
          </x14:formula1>
          <xm:sqref>H9</xm:sqref>
        </x14:dataValidation>
        <x14:dataValidation type="list" allowBlank="1" showErrorMessage="1" promptTitle="Verwendung" prompt="Wie wird das flüssige Gärgut verwendet?" xr:uid="{112C2B1D-50AE-4FB3-9D22-613D3F706C28}">
          <x14:formula1>
            <xm:f>menuesBG!$F$75:$F$80</xm:f>
          </x14:formula1>
          <xm:sqref>H94</xm:sqref>
        </x14:dataValidation>
        <x14:dataValidation type="list" allowBlank="1" showErrorMessage="1" promptTitle="Verbrennung" prompt="In welchem Typ von Anlage wird das Biogas verbrannt?" xr:uid="{AE0FE1B9-C223-4105-AD3B-2D228B96243A}">
          <x14:formula1>
            <xm:f>menuesBG!$F$82:$F$86</xm:f>
          </x14:formula1>
          <xm:sqref>H65</xm:sqref>
        </x14:dataValidation>
        <x14:dataValidation type="list" allowBlank="1" showInputMessage="1" showErrorMessage="1" promptTitle="Verwendung" prompt="Wie wird das flüssige Gärgut verwendet?" xr:uid="{8DD910DA-A79A-4FED-B5CA-CA6016BB5A02}">
          <x14:formula1>
            <xm:f>menuesBG!J$75:J$80</xm:f>
          </x14:formula1>
          <xm:sqref>H92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17"/>
  <sheetViews>
    <sheetView workbookViewId="0"/>
  </sheetViews>
  <sheetFormatPr baseColWidth="10" defaultColWidth="8.85546875" defaultRowHeight="12"/>
  <cols>
    <col min="1" max="1" width="23.42578125" style="475" customWidth="1"/>
    <col min="2" max="2" width="5.140625" style="476" customWidth="1"/>
    <col min="3" max="3" width="27" style="469" customWidth="1"/>
    <col min="4" max="4" width="22" style="477" customWidth="1"/>
    <col min="5" max="16384" width="8.85546875" style="469"/>
  </cols>
  <sheetData>
    <row r="1" spans="1:4" s="465" customFormat="1">
      <c r="A1" s="461" t="s">
        <v>1320</v>
      </c>
      <c r="B1" s="462" t="s">
        <v>1321</v>
      </c>
      <c r="C1" s="463" t="s">
        <v>1379</v>
      </c>
      <c r="D1" s="464"/>
    </row>
    <row r="2" spans="1:4">
      <c r="A2" s="461" t="s">
        <v>1380</v>
      </c>
      <c r="B2" s="466">
        <v>801</v>
      </c>
      <c r="C2" s="467" t="s">
        <v>1381</v>
      </c>
      <c r="D2" s="468">
        <v>41</v>
      </c>
    </row>
    <row r="3" spans="1:4">
      <c r="A3" s="461" t="s">
        <v>1380</v>
      </c>
      <c r="B3" s="466">
        <v>802</v>
      </c>
      <c r="C3" s="467" t="s">
        <v>1382</v>
      </c>
      <c r="D3" s="456">
        <v>3</v>
      </c>
    </row>
    <row r="4" spans="1:4">
      <c r="A4" s="461" t="s">
        <v>1380</v>
      </c>
      <c r="B4" s="466">
        <v>803</v>
      </c>
      <c r="C4" s="467" t="s">
        <v>15</v>
      </c>
      <c r="D4" s="456" t="s">
        <v>1383</v>
      </c>
    </row>
    <row r="5" spans="1:4">
      <c r="A5" s="461" t="s">
        <v>1380</v>
      </c>
      <c r="B5" s="466">
        <v>1002</v>
      </c>
      <c r="C5" s="470" t="s">
        <v>1384</v>
      </c>
      <c r="D5" s="471" t="s">
        <v>1385</v>
      </c>
    </row>
    <row r="6" spans="1:4">
      <c r="A6" s="461" t="s">
        <v>1380</v>
      </c>
      <c r="B6" s="466">
        <v>1003</v>
      </c>
      <c r="C6" s="471" t="s">
        <v>1386</v>
      </c>
      <c r="D6" s="471"/>
    </row>
    <row r="7" spans="1:4">
      <c r="A7" s="461" t="s">
        <v>1380</v>
      </c>
      <c r="B7" s="466">
        <v>1004</v>
      </c>
      <c r="C7" s="470" t="s">
        <v>1387</v>
      </c>
      <c r="D7" s="471">
        <v>2018</v>
      </c>
    </row>
    <row r="8" spans="1:4" ht="72">
      <c r="A8" s="461" t="s">
        <v>1380</v>
      </c>
      <c r="B8" s="466">
        <v>1005</v>
      </c>
      <c r="C8" s="470" t="s">
        <v>1388</v>
      </c>
      <c r="D8" s="471" t="s">
        <v>1484</v>
      </c>
    </row>
    <row r="9" spans="1:4">
      <c r="A9" s="461"/>
      <c r="B9" s="466">
        <v>1006</v>
      </c>
      <c r="C9" s="467" t="s">
        <v>1373</v>
      </c>
      <c r="D9" s="472" t="s">
        <v>352</v>
      </c>
    </row>
    <row r="10" spans="1:4" ht="24">
      <c r="A10" s="461" t="s">
        <v>1380</v>
      </c>
      <c r="B10" s="466">
        <v>1007</v>
      </c>
      <c r="C10" s="467" t="s">
        <v>1389</v>
      </c>
      <c r="D10" s="456" t="s">
        <v>1483</v>
      </c>
    </row>
    <row r="11" spans="1:4">
      <c r="A11" s="461" t="s">
        <v>1380</v>
      </c>
      <c r="B11" s="466">
        <v>1008</v>
      </c>
      <c r="C11" s="467" t="s">
        <v>1390</v>
      </c>
      <c r="D11" s="456" t="s">
        <v>1391</v>
      </c>
    </row>
    <row r="12" spans="1:4">
      <c r="A12" s="461" t="s">
        <v>1380</v>
      </c>
      <c r="B12" s="466">
        <v>1009</v>
      </c>
      <c r="C12" s="467" t="s">
        <v>1392</v>
      </c>
      <c r="D12" s="456" t="s">
        <v>1393</v>
      </c>
    </row>
    <row r="13" spans="1:4">
      <c r="A13" s="461" t="s">
        <v>1380</v>
      </c>
      <c r="B13" s="466">
        <v>1010</v>
      </c>
      <c r="C13" s="467" t="s">
        <v>1394</v>
      </c>
      <c r="D13" s="456" t="s">
        <v>1395</v>
      </c>
    </row>
    <row r="14" spans="1:4">
      <c r="A14" s="461" t="s">
        <v>1380</v>
      </c>
      <c r="B14" s="466">
        <v>1011</v>
      </c>
      <c r="C14" s="467" t="s">
        <v>1396</v>
      </c>
      <c r="D14" s="456" t="s">
        <v>340</v>
      </c>
    </row>
    <row r="15" spans="1:4">
      <c r="A15" s="461" t="s">
        <v>1380</v>
      </c>
      <c r="B15" s="466">
        <v>1012</v>
      </c>
      <c r="C15" s="467" t="s">
        <v>1397</v>
      </c>
      <c r="D15" s="473">
        <v>208</v>
      </c>
    </row>
    <row r="16" spans="1:4">
      <c r="A16" s="461" t="s">
        <v>1380</v>
      </c>
      <c r="B16" s="466">
        <v>1013</v>
      </c>
      <c r="C16" s="467" t="s">
        <v>1398</v>
      </c>
      <c r="D16" s="456" t="s">
        <v>340</v>
      </c>
    </row>
    <row r="17" spans="4:4">
      <c r="D17" s="474"/>
    </row>
  </sheetData>
  <dataValidations count="3">
    <dataValidation allowBlank="1" showInputMessage="1" showErrorMessage="1" promptTitle="Sources Number" prompt="It is used to identify the source within one dataset. The numbers are used in X-Process &quot;ReferenceToPublishedSource&quot;." sqref="A2:XFD2" xr:uid="{00000000-0002-0000-0E00-000000000000}"/>
    <dataValidation allowBlank="1" showInputMessage="1" showErrorMessage="1" promptTitle="SourceType" prompt="The codes are: _x000a_0=Undefined (default)_x000a_1=Article_x000a_2=Chapters in anthology_x000a_3=Seperate publication" sqref="A3:XFD3" xr:uid="{00000000-0002-0000-0E00-000001000000}"/>
    <dataValidation allowBlank="1" showInputMessage="1" showErrorMessage="1" promptTitle="Sources Text" prompt="Free text for additional description of the source. It may contain a brief summary of the publication and the kind of medium used (e.g. CD-ROM, hard copy)" sqref="A4:XFD4" xr:uid="{00000000-0002-0000-0E00-000002000000}"/>
  </dataValidations>
  <printOptions horizontalCentered="1" verticalCentered="1"/>
  <pageMargins left="0.78740157480314965" right="0.55118110236220474" top="0.9055118110236221" bottom="1.0629921259842521" header="0.51181102362204722" footer="0.51181102362204722"/>
  <pageSetup orientation="landscape" r:id="rId1"/>
  <headerFooter alignWithMargins="0">
    <oddHeader>&amp;A</oddHeader>
    <oddFooter>Erstellt von Niels Jungbluth &amp;D&amp;RSeite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9"/>
  <sheetViews>
    <sheetView workbookViewId="0"/>
  </sheetViews>
  <sheetFormatPr baseColWidth="10" defaultColWidth="8.85546875" defaultRowHeight="12"/>
  <cols>
    <col min="1" max="1" width="7.42578125" style="475" bestFit="1" customWidth="1"/>
    <col min="2" max="2" width="5.140625" style="476" customWidth="1"/>
    <col min="3" max="3" width="13.28515625" style="469" bestFit="1" customWidth="1"/>
    <col min="4" max="4" width="23.85546875" style="493" customWidth="1"/>
    <col min="5" max="5" width="24.5703125" style="469" bestFit="1" customWidth="1"/>
    <col min="6" max="6" width="24.5703125" style="469" customWidth="1"/>
    <col min="7" max="7" width="24.5703125" style="469" bestFit="1" customWidth="1"/>
    <col min="8" max="16384" width="8.85546875" style="469"/>
  </cols>
  <sheetData>
    <row r="1" spans="1:7" s="465" customFormat="1">
      <c r="A1" s="478" t="s">
        <v>1320</v>
      </c>
      <c r="B1" s="479" t="s">
        <v>1321</v>
      </c>
      <c r="C1" s="480" t="s">
        <v>1379</v>
      </c>
      <c r="D1" s="481"/>
    </row>
    <row r="2" spans="1:7">
      <c r="A2" s="478" t="s">
        <v>1399</v>
      </c>
      <c r="B2" s="482">
        <v>5800</v>
      </c>
      <c r="C2" s="483" t="s">
        <v>1381</v>
      </c>
      <c r="D2" s="484">
        <v>41</v>
      </c>
      <c r="E2" s="484">
        <v>49</v>
      </c>
      <c r="F2" s="484"/>
      <c r="G2" s="484">
        <v>50</v>
      </c>
    </row>
    <row r="3" spans="1:7">
      <c r="A3" s="478" t="s">
        <v>1399</v>
      </c>
      <c r="B3" s="485">
        <v>5802</v>
      </c>
      <c r="C3" s="486" t="s">
        <v>1324</v>
      </c>
      <c r="D3" s="487" t="s">
        <v>1400</v>
      </c>
      <c r="E3" s="487" t="s">
        <v>1401</v>
      </c>
      <c r="F3" s="487"/>
      <c r="G3" s="488"/>
    </row>
    <row r="4" spans="1:7" ht="24">
      <c r="A4" s="478" t="s">
        <v>1399</v>
      </c>
      <c r="B4" s="485">
        <v>5803</v>
      </c>
      <c r="C4" s="486" t="s">
        <v>1402</v>
      </c>
      <c r="D4" s="487" t="s">
        <v>1403</v>
      </c>
      <c r="E4" s="487" t="s">
        <v>1403</v>
      </c>
      <c r="G4" s="487" t="s">
        <v>1403</v>
      </c>
    </row>
    <row r="5" spans="1:7">
      <c r="A5" s="478" t="s">
        <v>1399</v>
      </c>
      <c r="B5" s="482">
        <v>5804</v>
      </c>
      <c r="C5" s="483" t="s">
        <v>1404</v>
      </c>
      <c r="D5" s="489" t="s">
        <v>1405</v>
      </c>
      <c r="E5" s="490" t="s">
        <v>1406</v>
      </c>
      <c r="G5" s="490" t="s">
        <v>1406</v>
      </c>
    </row>
    <row r="6" spans="1:7">
      <c r="A6" s="478" t="s">
        <v>1399</v>
      </c>
      <c r="B6" s="482">
        <v>5805</v>
      </c>
      <c r="C6" s="483" t="s">
        <v>1407</v>
      </c>
      <c r="D6" s="490" t="s">
        <v>1408</v>
      </c>
      <c r="E6" s="490" t="s">
        <v>1408</v>
      </c>
      <c r="G6" s="490" t="s">
        <v>1408</v>
      </c>
    </row>
    <row r="7" spans="1:7" ht="12.75">
      <c r="A7" s="478" t="s">
        <v>1399</v>
      </c>
      <c r="B7" s="482">
        <v>5806</v>
      </c>
      <c r="C7" s="483" t="s">
        <v>1409</v>
      </c>
      <c r="D7" s="491" t="s">
        <v>119</v>
      </c>
      <c r="E7" s="77" t="s">
        <v>1410</v>
      </c>
      <c r="G7" s="492" t="s">
        <v>1411</v>
      </c>
    </row>
    <row r="8" spans="1:7">
      <c r="A8" s="478" t="s">
        <v>1399</v>
      </c>
      <c r="B8" s="482">
        <v>5807</v>
      </c>
      <c r="C8" s="483" t="s">
        <v>1412</v>
      </c>
      <c r="D8" s="489" t="s">
        <v>1413</v>
      </c>
      <c r="E8" s="490" t="s">
        <v>1413</v>
      </c>
      <c r="G8" s="490" t="s">
        <v>1413</v>
      </c>
    </row>
    <row r="9" spans="1:7">
      <c r="A9" s="478" t="s">
        <v>1399</v>
      </c>
      <c r="B9" s="482">
        <v>5808</v>
      </c>
      <c r="C9" s="483" t="s">
        <v>1372</v>
      </c>
      <c r="D9" s="489" t="s">
        <v>1414</v>
      </c>
      <c r="E9" s="490" t="s">
        <v>1414</v>
      </c>
      <c r="G9" s="490" t="s">
        <v>1414</v>
      </c>
    </row>
  </sheetData>
  <dataValidations count="1">
    <dataValidation allowBlank="1" showInputMessage="1" showErrorMessage="1" promptTitle="Person Number" prompt="It is used to identify persons cited within one dataset. The numbers are used in X-Process &quot;DataEntryBy&quot; and &quot;DataGenerator&quot;." sqref="A2:IP2" xr:uid="{00000000-0002-0000-0F00-000000000000}"/>
  </dataValidations>
  <hyperlinks>
    <hyperlink ref="D7" r:id="rId1" display="mailto:esu-services@ecoinvent.org" xr:uid="{00000000-0004-0000-0F00-000000000000}"/>
    <hyperlink ref="E7" r:id="rId2" display="mailto:meili@esu-services.ch" xr:uid="{00000000-0004-0000-0F00-000001000000}"/>
  </hyperlinks>
  <printOptions horizontalCentered="1" verticalCentered="1"/>
  <pageMargins left="0.78740157480314965" right="0.55118110236220474" top="0.78" bottom="1.04" header="0.51181102362204722" footer="0.51181102362204722"/>
  <pageSetup orientation="landscape" r:id="rId3"/>
  <headerFooter alignWithMargins="0">
    <oddHeader>&amp;A</oddHeader>
    <oddFooter>Erstellt von Niels Jungbluth &amp;D&amp;RSeite &amp;P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3399"/>
    <pageSetUpPr fitToPage="1"/>
  </sheetPr>
  <dimension ref="A1:Y177"/>
  <sheetViews>
    <sheetView workbookViewId="0"/>
  </sheetViews>
  <sheetFormatPr baseColWidth="10" defaultRowHeight="12.75" outlineLevelRow="1"/>
  <cols>
    <col min="2" max="2" width="12.7109375" customWidth="1"/>
    <col min="3" max="4" width="11.7109375" bestFit="1" customWidth="1"/>
    <col min="5" max="7" width="11.5703125" bestFit="1" customWidth="1"/>
    <col min="8" max="8" width="11.7109375" bestFit="1" customWidth="1"/>
    <col min="9" max="12" width="11.7109375" customWidth="1"/>
    <col min="13" max="13" width="11.5703125" bestFit="1" customWidth="1"/>
    <col min="14" max="14" width="11.28515625" customWidth="1"/>
    <col min="15" max="15" width="11.5703125" bestFit="1" customWidth="1"/>
    <col min="16" max="16" width="13" customWidth="1"/>
    <col min="17" max="18" width="11.5703125" bestFit="1" customWidth="1"/>
    <col min="19" max="19" width="11.5703125" customWidth="1"/>
    <col min="20" max="24" width="11.5703125" bestFit="1" customWidth="1"/>
  </cols>
  <sheetData>
    <row r="1" spans="1:25" s="1" customFormat="1">
      <c r="A1" s="1" t="s">
        <v>29</v>
      </c>
      <c r="C1" s="64">
        <v>9</v>
      </c>
      <c r="D1" s="64">
        <v>23</v>
      </c>
      <c r="E1" s="64">
        <v>10</v>
      </c>
      <c r="F1" s="64">
        <v>86</v>
      </c>
      <c r="G1" s="64">
        <v>18</v>
      </c>
      <c r="H1" s="265">
        <v>63</v>
      </c>
      <c r="I1" s="265">
        <v>64</v>
      </c>
      <c r="J1" s="265">
        <v>72</v>
      </c>
      <c r="K1" s="265">
        <v>73</v>
      </c>
      <c r="L1" s="265">
        <v>66</v>
      </c>
      <c r="M1" s="265">
        <v>71</v>
      </c>
      <c r="N1" s="67">
        <v>13</v>
      </c>
      <c r="O1" s="67">
        <v>13</v>
      </c>
      <c r="P1" s="67">
        <v>13</v>
      </c>
      <c r="Q1" s="67">
        <v>13</v>
      </c>
      <c r="R1" s="67">
        <v>13</v>
      </c>
      <c r="S1" s="67">
        <v>103</v>
      </c>
      <c r="T1" s="67">
        <v>32</v>
      </c>
      <c r="U1" s="265">
        <v>67</v>
      </c>
      <c r="V1" s="265">
        <v>67</v>
      </c>
      <c r="W1" s="264"/>
      <c r="X1" s="264"/>
      <c r="Y1" s="264"/>
    </row>
    <row r="2" spans="1:25" s="1" customFormat="1">
      <c r="C2" s="115">
        <f>INDEX(menuesBM!$1:$1048576,C1,sprache)</f>
        <v>0</v>
      </c>
      <c r="D2" s="115">
        <f>INDEX(menuesBM!$1:$1048576,D1,sprache)</f>
        <v>0</v>
      </c>
      <c r="E2" s="115">
        <f>INDEX(menuesBM!$1:$1048576,E1,sprache)</f>
        <v>0</v>
      </c>
      <c r="F2" s="115">
        <f>INDEX(menuesBM!$1:$1048576,F1,sprache)</f>
        <v>0</v>
      </c>
      <c r="G2" s="115">
        <f>INDEX(menuesBM!$1:$1048576,G1,sprache)</f>
        <v>0</v>
      </c>
      <c r="H2" s="115">
        <f>INDEX(menuesBM!$1:$1048576,H1,sprache)</f>
        <v>0</v>
      </c>
      <c r="I2" s="115">
        <f>INDEX(menuesBM!$1:$1048576,I1,sprache)</f>
        <v>0</v>
      </c>
      <c r="J2" s="115">
        <f>INDEX(menuesBM!$1:$1048576,J1,sprache)</f>
        <v>0</v>
      </c>
      <c r="K2" s="115">
        <f>INDEX(menuesBM!$1:$1048576,K1,sprache)</f>
        <v>0</v>
      </c>
      <c r="L2" s="115">
        <f>INDEX(menuesBM!$1:$1048576,L1,sprache)</f>
        <v>0</v>
      </c>
      <c r="M2" s="115">
        <f>INDEX(menuesBM!$1:$1048576,M1,sprache)</f>
        <v>0</v>
      </c>
      <c r="N2" s="115">
        <f>INDEX(menuesBM!$1:$1048576,N1,sprache)</f>
        <v>0</v>
      </c>
      <c r="O2" s="115">
        <f>INDEX(menuesBM!$1:$1048576,O1,sprache)</f>
        <v>0</v>
      </c>
      <c r="P2" s="115">
        <f>INDEX(menuesBM!$1:$1048576,P1,sprache)</f>
        <v>0</v>
      </c>
      <c r="Q2" s="115">
        <f>INDEX(menuesBM!$1:$1048576,Q1,sprache)</f>
        <v>0</v>
      </c>
      <c r="R2" s="115">
        <f>INDEX(menuesBM!$1:$1048576,R1,sprache)</f>
        <v>0</v>
      </c>
      <c r="S2" s="115">
        <f>INDEX(menuesBM!$1:$1048576,S1,sprache)</f>
        <v>0</v>
      </c>
      <c r="T2" s="115">
        <f>INDEX(menuesBM!$1:$1048576,T1,sprache)</f>
        <v>0</v>
      </c>
      <c r="U2" s="115">
        <f>INDEX(menuesBM!$1:$1048576,U1,sprache)</f>
        <v>0</v>
      </c>
      <c r="V2" s="115">
        <f>INDEX(menuesBM!$1:$1048576,V1,sprache)</f>
        <v>0</v>
      </c>
      <c r="W2" s="115"/>
      <c r="X2" s="115"/>
      <c r="Y2" s="115"/>
    </row>
    <row r="3" spans="1:25" s="1" customFormat="1">
      <c r="A3" s="1" t="s">
        <v>27</v>
      </c>
      <c r="C3" s="1">
        <f>INDEX(PrüfungBM!$1:$1048576,MATCH(C$1,PrüfungBM!$A:$A,0),3)</f>
        <v>0</v>
      </c>
      <c r="D3" s="1">
        <f>INDEX(PrüfungBM!$1:$1048576,MATCH(D$1,PrüfungBM!$A:$A,0),3)</f>
        <v>0</v>
      </c>
      <c r="E3" s="1">
        <f>INDEX(PrüfungBM!$1:$1048576,MATCH(E$1,PrüfungBM!$A:$A,0),3)</f>
        <v>0</v>
      </c>
      <c r="F3" s="1">
        <f>INDEX(PrüfungBM!$1:$1048576,MATCH(F$1,PrüfungBM!$A:$A,0),3)</f>
        <v>0</v>
      </c>
      <c r="G3" s="1">
        <f>INDEX(PrüfungBM!$1:$1048576,MATCH(G$1,PrüfungBM!$A:$A,0),3)</f>
        <v>0</v>
      </c>
      <c r="H3" s="1">
        <f>INDEX(PrüfungBM!$1:$1048576,MATCH(H$1,PrüfungBM!$A:$A,0),3)</f>
        <v>0</v>
      </c>
      <c r="I3" s="1">
        <f>INDEX(PrüfungBM!$1:$1048576,MATCH(I$1,PrüfungBM!$A:$A,0),3)</f>
        <v>0</v>
      </c>
      <c r="J3" s="1">
        <f>INDEX(PrüfungBM!$1:$1048576,MATCH(J$1,PrüfungBM!$A:$A,0),3)</f>
        <v>0</v>
      </c>
      <c r="K3" s="1">
        <f>INDEX(PrüfungBM!$1:$1048576,MATCH(K$1,PrüfungBM!$A:$A,0),3)</f>
        <v>0</v>
      </c>
      <c r="L3" s="1">
        <f>INDEX(PrüfungBM!$1:$1048576,MATCH(L$1,PrüfungBM!$A:$A,0),3)</f>
        <v>0</v>
      </c>
      <c r="M3" s="1">
        <f>INDEX(PrüfungBM!$1:$1048576,MATCH(M$1,PrüfungBM!$A:$A,0),3)</f>
        <v>0</v>
      </c>
      <c r="N3" s="1">
        <f>INDEX(PrüfungBM!$1:$1048576,MATCH(N$1,PrüfungBM!$A:$A,0),3)</f>
        <v>1</v>
      </c>
      <c r="O3" s="1">
        <f>INDEX(PrüfungBM!$1:$1048576,MATCH(O$1,PrüfungBM!$A:$A,0),3)</f>
        <v>1</v>
      </c>
      <c r="P3" s="1">
        <f>INDEX(PrüfungBM!$1:$1048576,MATCH(P$1,PrüfungBM!$A:$A,0),3)</f>
        <v>1</v>
      </c>
      <c r="Q3" s="1">
        <f>INDEX(PrüfungBM!$1:$1048576,MATCH(Q$1,PrüfungBM!$A:$A,0),3)</f>
        <v>1</v>
      </c>
      <c r="R3" s="1">
        <f>INDEX(PrüfungBM!$1:$1048576,MATCH(R$1,PrüfungBM!$A:$A,0),3)</f>
        <v>1</v>
      </c>
      <c r="S3" s="1">
        <f>INDEX(PrüfungBM!$1:$1048576,MATCH(S$1,PrüfungBM!$A:$A,0),3)</f>
        <v>0</v>
      </c>
      <c r="T3" s="1">
        <f>INDEX(PrüfungBM!$1:$1048576,MATCH(T$1,PrüfungBM!$A:$A,0),3)</f>
        <v>0</v>
      </c>
      <c r="U3" s="1">
        <f>INDEX(PrüfungBM!$1:$1048576,MATCH(U$1,PrüfungBM!$A:$A,0),3)</f>
        <v>1</v>
      </c>
      <c r="V3" s="1">
        <f>INDEX(PrüfungBM!$1:$1048576,MATCH(V$1,PrüfungBM!$A:$A,0),3)</f>
        <v>1</v>
      </c>
    </row>
    <row r="4" spans="1:25" s="1" customFormat="1">
      <c r="A4" s="1" t="s">
        <v>28</v>
      </c>
      <c r="C4" s="1">
        <f>INDEX(PrüfungBM!$1:$1048576,MATCH(C$1,PrüfungBM!$A:$A,0),4)</f>
        <v>0</v>
      </c>
      <c r="D4" s="1">
        <f>INDEX(PrüfungBM!$1:$1048576,MATCH(D$1,PrüfungBM!$A:$A,0),4)</f>
        <v>0</v>
      </c>
      <c r="E4" s="1">
        <f>INDEX(PrüfungBM!$1:$1048576,MATCH(E$1,PrüfungBM!$A:$A,0),4)</f>
        <v>0</v>
      </c>
      <c r="F4" s="1">
        <f>INDEX(PrüfungBM!$1:$1048576,MATCH(F$1,PrüfungBM!$A:$A,0),4)</f>
        <v>0</v>
      </c>
      <c r="G4" s="1">
        <f>INDEX(PrüfungBM!$1:$1048576,MATCH(G$1,PrüfungBM!$A:$A,0),4)</f>
        <v>0</v>
      </c>
      <c r="H4" s="1">
        <f>INDEX(PrüfungBM!$1:$1048576,MATCH(H$1,PrüfungBM!$A:$A,0),4)</f>
        <v>0</v>
      </c>
      <c r="I4" s="1">
        <f>INDEX(PrüfungBM!$1:$1048576,MATCH(I$1,PrüfungBM!$A:$A,0),4)</f>
        <v>0</v>
      </c>
      <c r="J4" s="1">
        <f>INDEX(PrüfungBM!$1:$1048576,MATCH(J$1,PrüfungBM!$A:$A,0),4)</f>
        <v>0</v>
      </c>
      <c r="K4" s="1">
        <f>INDEX(PrüfungBM!$1:$1048576,MATCH(K$1,PrüfungBM!$A:$A,0),4)</f>
        <v>0</v>
      </c>
      <c r="L4" s="1">
        <f>INDEX(PrüfungBM!$1:$1048576,MATCH(L$1,PrüfungBM!$A:$A,0),4)</f>
        <v>0</v>
      </c>
      <c r="M4" s="1">
        <f>INDEX(PrüfungBM!$1:$1048576,MATCH(M$1,PrüfungBM!$A:$A,0),4)</f>
        <v>0</v>
      </c>
      <c r="N4" s="263">
        <v>9.9000000000000001E-6</v>
      </c>
      <c r="O4" s="263">
        <v>1.29E-5</v>
      </c>
      <c r="P4" s="263">
        <v>6.9999999999999994E-5</v>
      </c>
      <c r="Q4" s="263">
        <v>1.2999999999999999E-4</v>
      </c>
      <c r="R4" s="263">
        <v>2.55E-5</v>
      </c>
      <c r="S4" s="1">
        <f>IF(S3=0,1100,S3)</f>
        <v>1100</v>
      </c>
      <c r="T4" s="1">
        <f>INDEX(PrüfungBM!$1:$1048576,MATCH(T$1,PrüfungBM!$A:$A,0),4)</f>
        <v>0.1</v>
      </c>
      <c r="U4" s="1">
        <f>INDEX(PrüfungBM!$1:$1048576,MATCH(U$1,PrüfungBM!$A:$A,0),4)</f>
        <v>1</v>
      </c>
      <c r="V4" s="1">
        <f>INDEX(PrüfungBM!$1:$1048576,MATCH(V$1,PrüfungBM!$A:$A,0),4)</f>
        <v>1</v>
      </c>
    </row>
    <row r="5" spans="1:25" s="1" customFormat="1">
      <c r="A5" s="1" t="s">
        <v>344</v>
      </c>
      <c r="C5" s="1">
        <f>INDEX(PrüfungBM!$1:$1048576,MATCH(C$1,PrüfungBM!$A:$A,0),5)</f>
        <v>0</v>
      </c>
      <c r="D5" s="1">
        <f>INDEX(PrüfungBM!$1:$1048576,MATCH(D$1,PrüfungBM!$A:$A,0),5)</f>
        <v>0</v>
      </c>
      <c r="E5" s="1">
        <f>INDEX(PrüfungBM!$1:$1048576,MATCH(E$1,PrüfungBM!$A:$A,0),5)</f>
        <v>0</v>
      </c>
      <c r="F5" s="1">
        <f>INDEX(PrüfungBM!$1:$1048576,MATCH(F$1,PrüfungBM!$A:$A,0),5)</f>
        <v>0</v>
      </c>
      <c r="G5" s="1">
        <f>INDEX(PrüfungBM!$1:$1048576,MATCH(G$1,PrüfungBM!$A:$A,0),5)</f>
        <v>0</v>
      </c>
      <c r="H5" s="1">
        <f>INDEX(PrüfungBM!$1:$1048576,MATCH(H$1,PrüfungBM!$A:$A,0),5)</f>
        <v>0</v>
      </c>
      <c r="I5" s="1">
        <f>INDEX(PrüfungBM!$1:$1048576,MATCH(I$1,PrüfungBM!$A:$A,0),5)</f>
        <v>0</v>
      </c>
      <c r="J5" s="1">
        <f>INDEX(PrüfungBM!$1:$1048576,MATCH(J$1,PrüfungBM!$A:$A,0),5)</f>
        <v>0</v>
      </c>
      <c r="K5" s="1">
        <f>INDEX(PrüfungBM!$1:$1048576,MATCH(K$1,PrüfungBM!$A:$A,0),5)</f>
        <v>0</v>
      </c>
      <c r="L5" s="1">
        <f>INDEX(PrüfungBM!$1:$1048576,MATCH(L$1,PrüfungBM!$A:$A,0),5)</f>
        <v>0</v>
      </c>
      <c r="M5" s="1">
        <f>INDEX(PrüfungBM!$1:$1048576,MATCH(M$1,PrüfungBM!$A:$A,0),5)</f>
        <v>0</v>
      </c>
      <c r="N5" s="263">
        <f>IF(BHKWbm=N12,N4*N3*3.6,0)</f>
        <v>0</v>
      </c>
      <c r="O5" s="263">
        <f>IF(BHKWbm=O12,O4*O3*3.6,0)</f>
        <v>0</v>
      </c>
      <c r="P5" s="263">
        <f>IF(BHKWbm=P12,P4*P3*3.6,0)</f>
        <v>2.52E-4</v>
      </c>
      <c r="Q5" s="263">
        <f>IF(BHKWbm=Q12,Q4*Q3*3.6,0)</f>
        <v>0</v>
      </c>
      <c r="R5" s="263">
        <f>IF(BHKWbm=R12,R4*R3*3.6,0)</f>
        <v>0</v>
      </c>
      <c r="S5" s="263">
        <f>SUM(N5:R5)</f>
        <v>2.52E-4</v>
      </c>
      <c r="T5" s="1">
        <f>INDEX(PrüfungBM!$1:$1048576,MATCH(T$1,PrüfungBM!$A:$A,0),5)</f>
        <v>0</v>
      </c>
      <c r="U5" s="1">
        <f>INDEX(PrüfungBM!$1:$1048576,MATCH(U$1,PrüfungBM!$A:$A,0),5)</f>
        <v>0</v>
      </c>
      <c r="V5" s="1">
        <f>INDEX(PrüfungBM!$1:$1048576,MATCH(V$1,PrüfungBM!$A:$A,0),5)</f>
        <v>0</v>
      </c>
    </row>
    <row r="6" spans="1:25" s="1" customFormat="1">
      <c r="A6" s="1" t="s">
        <v>345</v>
      </c>
      <c r="C6" s="1">
        <f>INDEX(PrüfungBM!$1:$1048576,MATCH(C$1,PrüfungBM!$A:$A,0),6)</f>
        <v>0</v>
      </c>
      <c r="D6" s="1">
        <f>INDEX(PrüfungBM!$1:$1048576,MATCH(D$1,PrüfungBM!$A:$A,0),6)</f>
        <v>0</v>
      </c>
      <c r="E6" s="1">
        <f>INDEX(PrüfungBM!$1:$1048576,MATCH(E$1,PrüfungBM!$A:$A,0),6)</f>
        <v>0</v>
      </c>
      <c r="F6" s="1">
        <f>INDEX(PrüfungBM!$1:$1048576,MATCH(F$1,PrüfungBM!$A:$A,0),6)</f>
        <v>0</v>
      </c>
      <c r="G6" s="1">
        <f>INDEX(PrüfungBM!$1:$1048576,MATCH(G$1,PrüfungBM!$A:$A,0),6)</f>
        <v>0</v>
      </c>
      <c r="H6" s="1">
        <f>INDEX(PrüfungBM!$1:$1048576,MATCH(H$1,PrüfungBM!$A:$A,0),6)</f>
        <v>0</v>
      </c>
      <c r="I6" s="1">
        <f>INDEX(PrüfungBM!$1:$1048576,MATCH(I$1,PrüfungBM!$A:$A,0),6)</f>
        <v>0</v>
      </c>
      <c r="J6" s="1">
        <f>INDEX(PrüfungBM!$1:$1048576,MATCH(J$1,PrüfungBM!$A:$A,0),6)</f>
        <v>0</v>
      </c>
      <c r="K6" s="1">
        <f>INDEX(PrüfungBM!$1:$1048576,MATCH(K$1,PrüfungBM!$A:$A,0),6)</f>
        <v>0</v>
      </c>
      <c r="L6" s="1">
        <f>INDEX(PrüfungBM!$1:$1048576,MATCH(L$1,PrüfungBM!$A:$A,0),6)</f>
        <v>0</v>
      </c>
      <c r="M6" s="1">
        <f>INDEX(PrüfungBM!$1:$1048576,MATCH(M$1,PrüfungBM!$A:$A,0),6)</f>
        <v>0</v>
      </c>
      <c r="T6" s="1">
        <f>INDEX(PrüfungBM!$1:$1048576,MATCH(T$1,PrüfungBM!$A:$A,0),6)</f>
        <v>0</v>
      </c>
      <c r="U6" s="1">
        <f>INDEX(PrüfungBM!$1:$1048576,MATCH(U$1,PrüfungBM!$A:$A,0),6)</f>
        <v>0</v>
      </c>
      <c r="V6" s="1">
        <f>INDEX(PrüfungBM!$1:$1048576,MATCH(V$1,PrüfungBM!$A:$A,0),6)</f>
        <v>0</v>
      </c>
    </row>
    <row r="7" spans="1:25" s="1" customFormat="1">
      <c r="A7" s="1" t="s">
        <v>26</v>
      </c>
      <c r="B7" s="2"/>
      <c r="C7" s="1">
        <f t="shared" ref="C7:M7" si="0">C3</f>
        <v>0</v>
      </c>
      <c r="D7" s="1">
        <f t="shared" si="0"/>
        <v>0</v>
      </c>
      <c r="E7" s="12">
        <f t="shared" si="0"/>
        <v>0</v>
      </c>
      <c r="F7" s="12">
        <f t="shared" si="0"/>
        <v>0</v>
      </c>
      <c r="G7" s="12">
        <f t="shared" si="0"/>
        <v>0</v>
      </c>
      <c r="H7" s="1">
        <f t="shared" si="0"/>
        <v>0</v>
      </c>
      <c r="I7" s="1">
        <f t="shared" si="0"/>
        <v>0</v>
      </c>
      <c r="J7" s="1">
        <f t="shared" si="0"/>
        <v>0</v>
      </c>
      <c r="K7" s="1">
        <f t="shared" si="0"/>
        <v>0</v>
      </c>
      <c r="L7" s="1">
        <f t="shared" si="0"/>
        <v>0</v>
      </c>
      <c r="M7" s="1">
        <f t="shared" si="0"/>
        <v>0</v>
      </c>
      <c r="N7" s="23">
        <f>IF(BHKWbm=N12,N3,0)</f>
        <v>0</v>
      </c>
      <c r="O7" s="23">
        <f>IF(BHKWbm=O12,O3,0)</f>
        <v>0</v>
      </c>
      <c r="P7" s="23">
        <f>IF(BHKWbm=P12,P3,0)</f>
        <v>1</v>
      </c>
      <c r="Q7" s="23">
        <f>IF(BHKWbm=Q12,Q3,0)</f>
        <v>0</v>
      </c>
      <c r="R7" s="23">
        <f>IF(BHKWbm=R12,R3,0)</f>
        <v>0</v>
      </c>
      <c r="S7" s="263">
        <f>7.57773723372344/21.46*S4/1000000*SUM(N7:R7)*3.6-S5</f>
        <v>1.1463149788231511E-3</v>
      </c>
      <c r="T7" s="1">
        <f>T3</f>
        <v>0</v>
      </c>
      <c r="U7" s="1">
        <f t="shared" ref="U7:V7" si="1">U3</f>
        <v>1</v>
      </c>
      <c r="V7" s="1">
        <f t="shared" si="1"/>
        <v>1</v>
      </c>
    </row>
    <row r="8" spans="1:25" s="24" customFormat="1">
      <c r="A8" s="24" t="s">
        <v>0</v>
      </c>
      <c r="B8" s="68">
        <f>SUM(C8:Y8)</f>
        <v>6.5071313039262845E-3</v>
      </c>
      <c r="C8" s="65">
        <f>C46*C7</f>
        <v>0</v>
      </c>
      <c r="D8" s="65">
        <f>D46*D7</f>
        <v>0</v>
      </c>
      <c r="E8" s="65">
        <f>E46*E$7</f>
        <v>0</v>
      </c>
      <c r="F8" s="65">
        <f t="shared" ref="F8:V8" si="2">F46*F7</f>
        <v>0</v>
      </c>
      <c r="G8" s="65">
        <f t="shared" si="2"/>
        <v>0</v>
      </c>
      <c r="H8" s="65">
        <f t="shared" si="2"/>
        <v>0</v>
      </c>
      <c r="I8" s="65">
        <f t="shared" si="2"/>
        <v>0</v>
      </c>
      <c r="J8" s="65">
        <f t="shared" si="2"/>
        <v>0</v>
      </c>
      <c r="K8" s="65">
        <f t="shared" si="2"/>
        <v>0</v>
      </c>
      <c r="L8" s="65">
        <f t="shared" si="2"/>
        <v>0</v>
      </c>
      <c r="M8" s="65">
        <f t="shared" si="2"/>
        <v>0</v>
      </c>
      <c r="N8" s="65">
        <f t="shared" si="2"/>
        <v>0</v>
      </c>
      <c r="O8" s="65">
        <f t="shared" si="2"/>
        <v>0</v>
      </c>
      <c r="P8" s="65">
        <f t="shared" si="2"/>
        <v>1.4086420999999999E-3</v>
      </c>
      <c r="Q8" s="65">
        <f t="shared" si="2"/>
        <v>0</v>
      </c>
      <c r="R8" s="65">
        <f t="shared" si="2"/>
        <v>0</v>
      </c>
      <c r="S8" s="65">
        <f t="shared" si="2"/>
        <v>5.0984892039262842E-3</v>
      </c>
      <c r="T8" s="65">
        <f t="shared" si="2"/>
        <v>0</v>
      </c>
      <c r="U8" s="65">
        <f t="shared" si="2"/>
        <v>0</v>
      </c>
      <c r="V8" s="65">
        <f t="shared" si="2"/>
        <v>0</v>
      </c>
      <c r="W8" s="65"/>
      <c r="X8" s="65"/>
      <c r="Y8" s="65"/>
    </row>
    <row r="9" spans="1:25" s="24" customFormat="1">
      <c r="A9" s="24" t="str">
        <f>A91</f>
        <v>IPCC GWP 100a</v>
      </c>
      <c r="B9" s="68">
        <f>SUM(C9:Y9)</f>
        <v>1.3403582000000001E-2</v>
      </c>
      <c r="C9" s="65">
        <f t="shared" ref="C9:V9" si="3">C91*C$7</f>
        <v>0</v>
      </c>
      <c r="D9" s="65">
        <f t="shared" si="3"/>
        <v>0</v>
      </c>
      <c r="E9" s="65">
        <f t="shared" si="3"/>
        <v>0</v>
      </c>
      <c r="F9" s="65">
        <f t="shared" si="3"/>
        <v>0</v>
      </c>
      <c r="G9" s="65">
        <f t="shared" si="3"/>
        <v>0</v>
      </c>
      <c r="H9" s="65">
        <f t="shared" si="3"/>
        <v>0</v>
      </c>
      <c r="I9" s="65">
        <f t="shared" si="3"/>
        <v>0</v>
      </c>
      <c r="J9" s="65">
        <f t="shared" si="3"/>
        <v>0</v>
      </c>
      <c r="K9" s="65">
        <f t="shared" si="3"/>
        <v>0</v>
      </c>
      <c r="L9" s="65">
        <f t="shared" si="3"/>
        <v>0</v>
      </c>
      <c r="M9" s="65">
        <f t="shared" si="3"/>
        <v>0</v>
      </c>
      <c r="N9" s="65">
        <f t="shared" si="3"/>
        <v>0</v>
      </c>
      <c r="O9" s="65">
        <f t="shared" si="3"/>
        <v>0</v>
      </c>
      <c r="P9" s="65">
        <f t="shared" si="3"/>
        <v>1.3403582000000001E-2</v>
      </c>
      <c r="Q9" s="65">
        <f t="shared" si="3"/>
        <v>0</v>
      </c>
      <c r="R9" s="65">
        <f t="shared" si="3"/>
        <v>0</v>
      </c>
      <c r="S9" s="65">
        <f t="shared" si="3"/>
        <v>0</v>
      </c>
      <c r="T9" s="65">
        <f t="shared" si="3"/>
        <v>0</v>
      </c>
      <c r="U9" s="65">
        <f t="shared" si="3"/>
        <v>0</v>
      </c>
      <c r="V9" s="65">
        <f t="shared" si="3"/>
        <v>0</v>
      </c>
      <c r="W9" s="65"/>
      <c r="X9" s="65"/>
      <c r="Y9" s="65"/>
    </row>
    <row r="10" spans="1:25" s="24" customFormat="1">
      <c r="A10" s="24" t="str">
        <f>B96</f>
        <v>Impact assessment</v>
      </c>
      <c r="B10" s="68">
        <f>SUM(C10:Y10)</f>
        <v>2.9482703999999998E-2</v>
      </c>
      <c r="C10" s="65">
        <f t="shared" ref="C10:V10" si="4">C125*C$7</f>
        <v>0</v>
      </c>
      <c r="D10" s="65">
        <f t="shared" si="4"/>
        <v>0</v>
      </c>
      <c r="E10" s="65">
        <f t="shared" si="4"/>
        <v>0</v>
      </c>
      <c r="F10" s="65">
        <f t="shared" si="4"/>
        <v>0</v>
      </c>
      <c r="G10" s="65">
        <f t="shared" si="4"/>
        <v>0</v>
      </c>
      <c r="H10" s="65">
        <f t="shared" si="4"/>
        <v>0</v>
      </c>
      <c r="I10" s="65">
        <f t="shared" si="4"/>
        <v>0</v>
      </c>
      <c r="J10" s="65">
        <f t="shared" si="4"/>
        <v>0</v>
      </c>
      <c r="K10" s="65">
        <f t="shared" si="4"/>
        <v>0</v>
      </c>
      <c r="L10" s="65">
        <f t="shared" si="4"/>
        <v>0</v>
      </c>
      <c r="M10" s="65">
        <f t="shared" si="4"/>
        <v>0</v>
      </c>
      <c r="N10" s="65">
        <f t="shared" si="4"/>
        <v>0</v>
      </c>
      <c r="O10" s="65">
        <f t="shared" si="4"/>
        <v>0</v>
      </c>
      <c r="P10" s="65">
        <f t="shared" si="4"/>
        <v>2.9482703999999998E-2</v>
      </c>
      <c r="Q10" s="65">
        <f t="shared" si="4"/>
        <v>0</v>
      </c>
      <c r="R10" s="65">
        <f t="shared" si="4"/>
        <v>0</v>
      </c>
      <c r="S10" s="65">
        <f t="shared" si="4"/>
        <v>0</v>
      </c>
      <c r="T10" s="65">
        <f t="shared" si="4"/>
        <v>0</v>
      </c>
      <c r="U10" s="65">
        <f t="shared" si="4"/>
        <v>0</v>
      </c>
      <c r="V10" s="65">
        <f t="shared" si="4"/>
        <v>0</v>
      </c>
      <c r="W10" s="65"/>
      <c r="X10" s="65"/>
      <c r="Y10" s="65"/>
    </row>
    <row r="11" spans="1:25" s="24" customFormat="1">
      <c r="A11" s="24" t="str">
        <f>B138</f>
        <v>Impact assessment</v>
      </c>
      <c r="B11" s="68">
        <f>SUM(C11:Y11)</f>
        <v>69.323684047041795</v>
      </c>
      <c r="C11" s="65">
        <f t="shared" ref="C11:V11" si="5">C167*C$7</f>
        <v>0</v>
      </c>
      <c r="D11" s="65">
        <f t="shared" si="5"/>
        <v>0</v>
      </c>
      <c r="E11" s="65">
        <f t="shared" si="5"/>
        <v>0</v>
      </c>
      <c r="F11" s="65">
        <f t="shared" si="5"/>
        <v>0</v>
      </c>
      <c r="G11" s="65">
        <f t="shared" si="5"/>
        <v>0</v>
      </c>
      <c r="H11" s="65">
        <f t="shared" si="5"/>
        <v>0</v>
      </c>
      <c r="I11" s="65">
        <f t="shared" si="5"/>
        <v>0</v>
      </c>
      <c r="J11" s="65">
        <f t="shared" si="5"/>
        <v>0</v>
      </c>
      <c r="K11" s="65">
        <f t="shared" si="5"/>
        <v>0</v>
      </c>
      <c r="L11" s="65">
        <f t="shared" si="5"/>
        <v>0</v>
      </c>
      <c r="M11" s="65">
        <f t="shared" si="5"/>
        <v>0</v>
      </c>
      <c r="N11" s="65">
        <f t="shared" si="5"/>
        <v>0</v>
      </c>
      <c r="O11" s="65">
        <f t="shared" si="5"/>
        <v>0</v>
      </c>
      <c r="P11" s="65">
        <f t="shared" si="5"/>
        <v>17.739509999999999</v>
      </c>
      <c r="Q11" s="65">
        <f t="shared" si="5"/>
        <v>0</v>
      </c>
      <c r="R11" s="65">
        <f t="shared" si="5"/>
        <v>0</v>
      </c>
      <c r="S11" s="65">
        <f t="shared" si="5"/>
        <v>51.584174047041799</v>
      </c>
      <c r="T11" s="65">
        <f t="shared" si="5"/>
        <v>0</v>
      </c>
      <c r="U11" s="65">
        <f t="shared" si="5"/>
        <v>0</v>
      </c>
      <c r="V11" s="65">
        <f t="shared" si="5"/>
        <v>0</v>
      </c>
      <c r="W11" s="65"/>
      <c r="X11" s="65"/>
      <c r="Y11" s="65"/>
    </row>
    <row r="12" spans="1:25" s="1" customFormat="1">
      <c r="N12" s="1">
        <v>1</v>
      </c>
      <c r="O12" s="1">
        <v>2</v>
      </c>
      <c r="P12" s="1">
        <v>3</v>
      </c>
      <c r="Q12" s="1">
        <v>4</v>
      </c>
      <c r="R12" s="1">
        <v>5</v>
      </c>
    </row>
    <row r="13" spans="1:25" s="1" customFormat="1">
      <c r="A13" s="1" t="s">
        <v>668</v>
      </c>
    </row>
    <row r="14" spans="1:25">
      <c r="B14" s="1"/>
      <c r="U14" t="s">
        <v>709</v>
      </c>
      <c r="V14" t="s">
        <v>710</v>
      </c>
    </row>
    <row r="15" spans="1:25" hidden="1" outlineLevel="1">
      <c r="A15" t="s">
        <v>570</v>
      </c>
      <c r="B15" t="s">
        <v>571</v>
      </c>
    </row>
    <row r="16" spans="1:25" hidden="1" outlineLevel="1">
      <c r="A16" t="s">
        <v>572</v>
      </c>
      <c r="B16" t="s">
        <v>573</v>
      </c>
    </row>
    <row r="17" spans="1:2" hidden="1" outlineLevel="1">
      <c r="A17" t="s">
        <v>574</v>
      </c>
      <c r="B17" t="s">
        <v>605</v>
      </c>
    </row>
    <row r="18" spans="1:2" hidden="1" outlineLevel="1">
      <c r="A18" t="s">
        <v>575</v>
      </c>
      <c r="B18" t="s">
        <v>606</v>
      </c>
    </row>
    <row r="19" spans="1:2" hidden="1" outlineLevel="1">
      <c r="A19" t="s">
        <v>576</v>
      </c>
      <c r="B19" t="s">
        <v>607</v>
      </c>
    </row>
    <row r="20" spans="1:2" hidden="1" outlineLevel="1">
      <c r="A20" t="s">
        <v>577</v>
      </c>
      <c r="B20" t="s">
        <v>609</v>
      </c>
    </row>
    <row r="21" spans="1:2" hidden="1" outlineLevel="1">
      <c r="A21" t="s">
        <v>578</v>
      </c>
      <c r="B21" t="s">
        <v>610</v>
      </c>
    </row>
    <row r="22" spans="1:2" hidden="1" outlineLevel="1">
      <c r="A22" t="s">
        <v>579</v>
      </c>
      <c r="B22" t="s">
        <v>667</v>
      </c>
    </row>
    <row r="23" spans="1:2" hidden="1" outlineLevel="1">
      <c r="A23" t="s">
        <v>580</v>
      </c>
      <c r="B23" t="s">
        <v>666</v>
      </c>
    </row>
    <row r="24" spans="1:2" hidden="1" outlineLevel="1">
      <c r="A24" t="s">
        <v>581</v>
      </c>
      <c r="B24" t="s">
        <v>665</v>
      </c>
    </row>
    <row r="25" spans="1:2" hidden="1" outlineLevel="1">
      <c r="A25" t="s">
        <v>582</v>
      </c>
      <c r="B25" t="s">
        <v>664</v>
      </c>
    </row>
    <row r="26" spans="1:2" hidden="1" outlineLevel="1">
      <c r="A26" t="s">
        <v>583</v>
      </c>
      <c r="B26" t="s">
        <v>663</v>
      </c>
    </row>
    <row r="27" spans="1:2" hidden="1" outlineLevel="1">
      <c r="A27" t="s">
        <v>584</v>
      </c>
      <c r="B27" t="s">
        <v>604</v>
      </c>
    </row>
    <row r="28" spans="1:2" hidden="1" outlineLevel="1">
      <c r="A28" t="s">
        <v>585</v>
      </c>
      <c r="B28" t="s">
        <v>662</v>
      </c>
    </row>
    <row r="29" spans="1:2" hidden="1" outlineLevel="1">
      <c r="A29" t="s">
        <v>586</v>
      </c>
      <c r="B29" t="s">
        <v>661</v>
      </c>
    </row>
    <row r="30" spans="1:2" hidden="1" outlineLevel="1">
      <c r="A30" t="s">
        <v>587</v>
      </c>
      <c r="B30" t="s">
        <v>660</v>
      </c>
    </row>
    <row r="31" spans="1:2" hidden="1" outlineLevel="1">
      <c r="A31" t="s">
        <v>588</v>
      </c>
      <c r="B31" t="s">
        <v>659</v>
      </c>
    </row>
    <row r="32" spans="1:2" hidden="1" outlineLevel="1">
      <c r="A32" t="s">
        <v>589</v>
      </c>
      <c r="B32" t="s">
        <v>658</v>
      </c>
    </row>
    <row r="33" spans="1:22" hidden="1" outlineLevel="1">
      <c r="A33" t="s">
        <v>590</v>
      </c>
      <c r="B33" t="s">
        <v>835</v>
      </c>
    </row>
    <row r="34" spans="1:22" hidden="1" outlineLevel="1">
      <c r="A34" t="s">
        <v>591</v>
      </c>
      <c r="B34" t="s">
        <v>618</v>
      </c>
    </row>
    <row r="35" spans="1:22" hidden="1" outlineLevel="1">
      <c r="A35" t="s">
        <v>523</v>
      </c>
      <c r="B35" t="s">
        <v>594</v>
      </c>
    </row>
    <row r="36" spans="1:22" hidden="1" outlineLevel="1">
      <c r="A36" t="s">
        <v>524</v>
      </c>
      <c r="B36" t="s">
        <v>525</v>
      </c>
    </row>
    <row r="37" spans="1:22" hidden="1" outlineLevel="1">
      <c r="A37" t="s">
        <v>595</v>
      </c>
      <c r="B37" t="s">
        <v>2</v>
      </c>
    </row>
    <row r="38" spans="1:22" hidden="1" outlineLevel="1">
      <c r="A38" t="s">
        <v>526</v>
      </c>
      <c r="B38" t="s">
        <v>657</v>
      </c>
    </row>
    <row r="39" spans="1:22" hidden="1" outlineLevel="1">
      <c r="A39" t="s">
        <v>527</v>
      </c>
      <c r="B39" t="s">
        <v>528</v>
      </c>
    </row>
    <row r="40" spans="1:22" hidden="1" outlineLevel="1">
      <c r="A40" t="s">
        <v>529</v>
      </c>
      <c r="B40" t="s">
        <v>530</v>
      </c>
    </row>
    <row r="41" spans="1:22" hidden="1" outlineLevel="1">
      <c r="A41" t="s">
        <v>531</v>
      </c>
      <c r="B41" s="170" t="s">
        <v>528</v>
      </c>
    </row>
    <row r="42" spans="1:22" hidden="1" outlineLevel="1">
      <c r="A42" t="s">
        <v>596</v>
      </c>
      <c r="B42" t="s">
        <v>532</v>
      </c>
    </row>
    <row r="43" spans="1:22" hidden="1" outlineLevel="1">
      <c r="A43" t="s">
        <v>597</v>
      </c>
      <c r="B43" t="s">
        <v>598</v>
      </c>
    </row>
    <row r="44" spans="1:22" hidden="1" outlineLevel="1"/>
    <row r="45" spans="1:22" s="3" customFormat="1" ht="78" customHeight="1" collapsed="1">
      <c r="A45" s="3" t="s">
        <v>532</v>
      </c>
      <c r="B45" s="3" t="s">
        <v>533</v>
      </c>
      <c r="C45" s="3" t="s">
        <v>626</v>
      </c>
      <c r="D45" s="3" t="s">
        <v>627</v>
      </c>
      <c r="E45" s="3" t="s">
        <v>4</v>
      </c>
      <c r="F45" s="3" t="s">
        <v>294</v>
      </c>
      <c r="G45" s="3" t="s">
        <v>3</v>
      </c>
      <c r="H45" s="3" t="s">
        <v>656</v>
      </c>
      <c r="I45" s="3" t="s">
        <v>655</v>
      </c>
      <c r="J45" s="3" t="s">
        <v>654</v>
      </c>
      <c r="K45" s="3" t="s">
        <v>653</v>
      </c>
      <c r="L45" s="3" t="s">
        <v>652</v>
      </c>
      <c r="M45" s="3" t="s">
        <v>59</v>
      </c>
      <c r="N45" s="3" t="s">
        <v>651</v>
      </c>
      <c r="O45" s="3" t="s">
        <v>650</v>
      </c>
      <c r="P45" s="3" t="s">
        <v>649</v>
      </c>
      <c r="Q45" s="3" t="s">
        <v>648</v>
      </c>
      <c r="R45" s="3" t="s">
        <v>647</v>
      </c>
      <c r="S45" s="3" t="s">
        <v>846</v>
      </c>
      <c r="T45" s="3" t="s">
        <v>9</v>
      </c>
      <c r="U45" s="262"/>
      <c r="V45" s="262"/>
    </row>
    <row r="46" spans="1:22" s="1" customFormat="1">
      <c r="A46" s="1" t="s">
        <v>35</v>
      </c>
      <c r="B46" s="1" t="s">
        <v>2</v>
      </c>
      <c r="C46" s="259">
        <v>7.7485224999999996E-3</v>
      </c>
      <c r="D46" s="259">
        <v>2.0498206000000001E-2</v>
      </c>
      <c r="E46" s="259">
        <v>2.3467769999999999E-2</v>
      </c>
      <c r="F46" s="259">
        <v>5.1111420999999997E-2</v>
      </c>
      <c r="G46" s="259">
        <v>1.8557405999999999E-2</v>
      </c>
      <c r="H46" s="259">
        <v>5.6875718999999996E-3</v>
      </c>
      <c r="I46" s="259">
        <v>3.8191191000000002E-3</v>
      </c>
      <c r="J46" s="259">
        <v>3.0168966E-3</v>
      </c>
      <c r="K46" s="259">
        <v>4.7485441E-3</v>
      </c>
      <c r="L46" s="259">
        <v>1.1165728E-2</v>
      </c>
      <c r="M46" s="259">
        <v>9.1916914000000002E-3</v>
      </c>
      <c r="N46" s="259">
        <v>3.2333874999999998E-4</v>
      </c>
      <c r="O46" s="259">
        <v>2.4263693000000001E-4</v>
      </c>
      <c r="P46" s="259">
        <v>1.4086420999999999E-3</v>
      </c>
      <c r="Q46" s="259">
        <v>2.1208684999999999E-3</v>
      </c>
      <c r="R46" s="259">
        <v>5.5684522999999999E-4</v>
      </c>
      <c r="S46" s="259">
        <v>4.4477209999999996</v>
      </c>
      <c r="T46" s="259">
        <v>1.7826836000000001E-4</v>
      </c>
      <c r="U46" s="260">
        <f>EPD!L20</f>
        <v>0</v>
      </c>
      <c r="V46" s="260">
        <f>EPD!L35</f>
        <v>0</v>
      </c>
    </row>
    <row r="47" spans="1:22" hidden="1" outlineLevel="1">
      <c r="A47" t="s">
        <v>850</v>
      </c>
      <c r="B47" t="s">
        <v>2</v>
      </c>
      <c r="C47" s="261">
        <v>4.2852658999999998E-3</v>
      </c>
      <c r="D47" s="261">
        <v>1.2486572E-2</v>
      </c>
      <c r="E47" s="261">
        <v>6.1723791E-3</v>
      </c>
      <c r="F47" s="261">
        <v>3.2342850999999999E-2</v>
      </c>
      <c r="G47" s="261">
        <v>3.2603692E-3</v>
      </c>
      <c r="H47" s="261">
        <v>2.6956846E-3</v>
      </c>
      <c r="I47" s="261">
        <v>2.8146061999999999E-3</v>
      </c>
      <c r="J47" s="261">
        <v>2.0772717000000001E-3</v>
      </c>
      <c r="K47" s="261">
        <v>1.5368943999999999E-3</v>
      </c>
      <c r="L47" s="261">
        <v>4.3539662E-3</v>
      </c>
      <c r="M47" s="261">
        <v>1.5207762E-3</v>
      </c>
      <c r="N47" s="261">
        <v>2.4760138999999998E-4</v>
      </c>
      <c r="O47" s="261">
        <v>2.1976617000000001E-4</v>
      </c>
      <c r="P47" s="261">
        <v>1.2171840000000001E-3</v>
      </c>
      <c r="Q47" s="261">
        <v>1.9245566E-3</v>
      </c>
      <c r="R47" s="261">
        <v>4.8835355000000004E-4</v>
      </c>
      <c r="S47" s="261">
        <v>4.0482680000000002</v>
      </c>
      <c r="T47" s="261">
        <v>1.0482547000000001E-4</v>
      </c>
      <c r="U47" s="260"/>
      <c r="V47" s="260"/>
    </row>
    <row r="48" spans="1:22" hidden="1" outlineLevel="1">
      <c r="A48" t="s">
        <v>270</v>
      </c>
      <c r="B48" t="s">
        <v>2</v>
      </c>
      <c r="C48" s="261">
        <v>3.0969203999999998E-4</v>
      </c>
      <c r="D48" s="261">
        <v>6.4243326999999999E-4</v>
      </c>
      <c r="E48" s="261">
        <v>1.111059E-3</v>
      </c>
      <c r="F48" s="261">
        <v>1.8661626E-3</v>
      </c>
      <c r="G48" s="261">
        <v>1.198655E-4</v>
      </c>
      <c r="H48" s="261">
        <v>1.571467E-3</v>
      </c>
      <c r="I48" s="261">
        <v>5.7399412000000004E-4</v>
      </c>
      <c r="J48" s="261">
        <v>2.3173930999999999E-4</v>
      </c>
      <c r="K48" s="261">
        <v>1.7202529E-4</v>
      </c>
      <c r="L48" s="261">
        <v>5.3081092000000002E-3</v>
      </c>
      <c r="M48" s="261">
        <v>4.9307858999999997E-5</v>
      </c>
      <c r="N48" s="261">
        <v>3.5953903999999999E-5</v>
      </c>
      <c r="O48" s="261">
        <v>1.9917713E-5</v>
      </c>
      <c r="P48" s="261">
        <v>1.0895976E-4</v>
      </c>
      <c r="Q48" s="261">
        <v>1.8922195E-4</v>
      </c>
      <c r="R48" s="261">
        <v>4.5193813999999999E-5</v>
      </c>
      <c r="S48" s="261">
        <v>0.39945296000000002</v>
      </c>
      <c r="T48" s="261">
        <v>7.1155738999999999E-6</v>
      </c>
      <c r="U48" s="260"/>
      <c r="V48" s="260"/>
    </row>
    <row r="49" spans="1:23" hidden="1" outlineLevel="1">
      <c r="A49" t="s">
        <v>271</v>
      </c>
      <c r="B49" t="s">
        <v>2</v>
      </c>
      <c r="C49" s="261">
        <v>3.1535646E-3</v>
      </c>
      <c r="D49" s="261">
        <v>7.3692000000000002E-3</v>
      </c>
      <c r="E49" s="261">
        <v>1.6184331999999999E-2</v>
      </c>
      <c r="F49" s="261">
        <v>1.6902408000000001E-2</v>
      </c>
      <c r="G49" s="261">
        <v>1.5177171E-2</v>
      </c>
      <c r="H49" s="261">
        <v>1.4204203E-3</v>
      </c>
      <c r="I49" s="261">
        <v>4.3051871E-4</v>
      </c>
      <c r="J49" s="261">
        <v>7.0788557999999996E-4</v>
      </c>
      <c r="K49" s="261">
        <v>3.0396244E-3</v>
      </c>
      <c r="L49" s="261">
        <v>1.5036524E-3</v>
      </c>
      <c r="M49" s="261">
        <v>7.6216073000000004E-3</v>
      </c>
      <c r="N49" s="261">
        <v>3.9783453999999997E-5</v>
      </c>
      <c r="O49" s="261">
        <v>2.9530452999999999E-6</v>
      </c>
      <c r="P49" s="261">
        <v>8.2498303000000004E-5</v>
      </c>
      <c r="Q49" s="261">
        <v>7.0899362999999996E-6</v>
      </c>
      <c r="R49" s="261">
        <v>2.3297870000000001E-5</v>
      </c>
      <c r="S49" s="261">
        <v>0</v>
      </c>
      <c r="T49" s="261">
        <v>6.6327306999999997E-5</v>
      </c>
      <c r="U49" s="260"/>
      <c r="V49" s="260"/>
    </row>
    <row r="50" spans="1:23" hidden="1" outlineLevel="1">
      <c r="A50" t="s">
        <v>732</v>
      </c>
      <c r="B50" t="s">
        <v>2</v>
      </c>
      <c r="C50" s="261">
        <v>1.1679829E-3</v>
      </c>
      <c r="D50" s="261">
        <v>6.0933180000000003E-3</v>
      </c>
      <c r="E50" s="261">
        <v>3.0212806000000001E-3</v>
      </c>
      <c r="F50" s="261">
        <v>3.1514616000000001E-3</v>
      </c>
      <c r="G50" s="261">
        <v>2.3356048000000001E-3</v>
      </c>
      <c r="H50" s="261">
        <v>9.4613262000000004E-4</v>
      </c>
      <c r="I50" s="261">
        <v>1.0317657E-3</v>
      </c>
      <c r="J50" s="261">
        <v>1.1593754E-3</v>
      </c>
      <c r="K50" s="261">
        <v>1.0697393E-3</v>
      </c>
      <c r="L50" s="261">
        <v>5.2364999999999996E-4</v>
      </c>
      <c r="M50" s="261">
        <v>1.1562395E-3</v>
      </c>
      <c r="N50" s="261">
        <v>1.5385852999999999E-5</v>
      </c>
      <c r="O50" s="261">
        <v>7.9823563999999994E-6</v>
      </c>
      <c r="P50" s="261">
        <v>1.2295097999999999E-4</v>
      </c>
      <c r="Q50" s="261">
        <v>1.5296263999999999E-5</v>
      </c>
      <c r="R50" s="261">
        <v>1.6800734999999999E-5</v>
      </c>
      <c r="S50" s="261">
        <v>0</v>
      </c>
      <c r="T50" s="261">
        <v>2.4441951E-5</v>
      </c>
      <c r="U50" s="260"/>
      <c r="V50" s="260"/>
    </row>
    <row r="51" spans="1:23" hidden="1" outlineLevel="1">
      <c r="A51" t="s">
        <v>733</v>
      </c>
      <c r="B51" t="s">
        <v>2</v>
      </c>
      <c r="C51" s="261">
        <v>2.5455033999999998E-4</v>
      </c>
      <c r="D51" s="261">
        <v>5.5498329999999999E-5</v>
      </c>
      <c r="E51" s="261">
        <v>2.2327858000000002E-6</v>
      </c>
      <c r="F51" s="261">
        <v>2.1896336000000001E-6</v>
      </c>
      <c r="G51" s="261">
        <v>6.4789668E-7</v>
      </c>
      <c r="H51" s="261">
        <v>1.4283981E-5</v>
      </c>
      <c r="I51" s="261">
        <v>1.5932443000000001E-5</v>
      </c>
      <c r="J51" s="261">
        <v>1.3947357E-5</v>
      </c>
      <c r="K51" s="261">
        <v>2.4336730999999998E-5</v>
      </c>
      <c r="L51" s="261">
        <v>2.9193911999999998E-6</v>
      </c>
      <c r="M51" s="261">
        <v>9.0112970999999995E-8</v>
      </c>
      <c r="N51" s="261">
        <v>9.0278751999999998E-8</v>
      </c>
      <c r="O51" s="261">
        <v>1.1564756E-8</v>
      </c>
      <c r="P51" s="261">
        <v>1.0032835E-7</v>
      </c>
      <c r="Q51" s="261">
        <v>4.6886411000000004E-9</v>
      </c>
      <c r="R51" s="261">
        <v>2.0195443999999999E-8</v>
      </c>
      <c r="S51" s="261">
        <v>0</v>
      </c>
      <c r="T51" s="261">
        <v>3.2358438000000001E-6</v>
      </c>
      <c r="U51" s="260"/>
      <c r="V51" s="260"/>
    </row>
    <row r="52" spans="1:23" hidden="1" outlineLevel="1">
      <c r="A52" t="s">
        <v>734</v>
      </c>
      <c r="B52" t="s">
        <v>2</v>
      </c>
      <c r="C52" s="261">
        <v>7.6684131999999997E-7</v>
      </c>
      <c r="D52" s="261">
        <v>1.1115813999999999E-6</v>
      </c>
      <c r="E52" s="261">
        <v>4.3359781000000001E-7</v>
      </c>
      <c r="F52" s="261">
        <v>1.6451218E-7</v>
      </c>
      <c r="G52" s="261">
        <v>1.4311765E-6</v>
      </c>
      <c r="H52" s="261">
        <v>1.2903480000000001E-7</v>
      </c>
      <c r="I52" s="261">
        <v>5.7634393999999998E-8</v>
      </c>
      <c r="J52" s="261">
        <v>6.6085990999999994E-8</v>
      </c>
      <c r="K52" s="261">
        <v>3.2612228000000002E-7</v>
      </c>
      <c r="L52" s="261">
        <v>6.6296518E-8</v>
      </c>
      <c r="M52" s="261">
        <v>8.0977871000000002E-7</v>
      </c>
      <c r="N52" s="261">
        <v>1.6628032999999999E-9</v>
      </c>
      <c r="O52" s="261">
        <v>1.8508793000000001E-10</v>
      </c>
      <c r="P52" s="261">
        <v>2.1274270999999999E-9</v>
      </c>
      <c r="Q52" s="261">
        <v>9.2779504999999994E-11</v>
      </c>
      <c r="R52" s="261">
        <v>1.0486435999999999E-9</v>
      </c>
      <c r="S52" s="261">
        <v>0</v>
      </c>
      <c r="T52" s="261">
        <v>1.1038698E-8</v>
      </c>
      <c r="U52" s="260"/>
      <c r="V52" s="260"/>
    </row>
    <row r="53" spans="1:23" hidden="1" outlineLevel="1">
      <c r="A53" t="s">
        <v>735</v>
      </c>
      <c r="B53" t="s">
        <v>2</v>
      </c>
      <c r="C53" s="261">
        <v>1.3822617E-4</v>
      </c>
      <c r="D53" s="261">
        <v>1.6082272E-4</v>
      </c>
      <c r="E53" s="261">
        <v>8.1964671999999999E-4</v>
      </c>
      <c r="F53" s="261">
        <v>1.4187991E-4</v>
      </c>
      <c r="G53" s="261">
        <v>1.0290502E-5</v>
      </c>
      <c r="H53" s="261">
        <v>4.0814096000000002E-5</v>
      </c>
      <c r="I53" s="261">
        <v>3.0442058999999999E-5</v>
      </c>
      <c r="J53" s="261">
        <v>2.7846933999999999E-5</v>
      </c>
      <c r="K53" s="261">
        <v>2.8805684000000001E-5</v>
      </c>
      <c r="L53" s="261">
        <v>7.6161706999999999E-5</v>
      </c>
      <c r="M53" s="261">
        <v>3.8008483999999999E-6</v>
      </c>
      <c r="N53" s="261">
        <v>1.9166110999999999E-5</v>
      </c>
      <c r="O53" s="261">
        <v>1.05707E-6</v>
      </c>
      <c r="P53" s="261">
        <v>5.8910817000000003E-6</v>
      </c>
      <c r="Q53" s="261">
        <v>1.3988510999999999E-6</v>
      </c>
      <c r="R53" s="261">
        <v>6.4934414999999997E-6</v>
      </c>
      <c r="S53" s="261">
        <v>0</v>
      </c>
      <c r="T53" s="261">
        <v>3.2307128000000001E-6</v>
      </c>
      <c r="U53" s="260"/>
      <c r="V53" s="260"/>
    </row>
    <row r="54" spans="1:23" hidden="1" outlineLevel="1">
      <c r="A54" t="s">
        <v>736</v>
      </c>
      <c r="B54" t="s">
        <v>2</v>
      </c>
      <c r="C54" s="261">
        <v>1.0432915999999999E-4</v>
      </c>
      <c r="D54" s="261">
        <v>2.6650276E-4</v>
      </c>
      <c r="E54" s="261">
        <v>1.7835712000000001E-4</v>
      </c>
      <c r="F54" s="261">
        <v>1.5849169000000001E-3</v>
      </c>
      <c r="G54" s="261">
        <v>5.9792844000000002E-5</v>
      </c>
      <c r="H54" s="261">
        <v>1.9082300000000001E-4</v>
      </c>
      <c r="I54" s="261">
        <v>4.1393811999999999E-4</v>
      </c>
      <c r="J54" s="261">
        <v>1.2127578999999999E-4</v>
      </c>
      <c r="K54" s="261">
        <v>2.7964044999999998E-5</v>
      </c>
      <c r="L54" s="261">
        <v>2.0011405000000001E-4</v>
      </c>
      <c r="M54" s="261">
        <v>2.1227456999999999E-5</v>
      </c>
      <c r="N54" s="261">
        <v>1.5501697999999999E-5</v>
      </c>
      <c r="O54" s="261">
        <v>1.8782798E-5</v>
      </c>
      <c r="P54" s="261">
        <v>1.020483E-4</v>
      </c>
      <c r="Q54" s="261">
        <v>1.8735034E-4</v>
      </c>
      <c r="R54" s="261">
        <v>3.7774429000000001E-5</v>
      </c>
      <c r="S54" s="261">
        <v>0.39945296000000002</v>
      </c>
      <c r="T54" s="261">
        <v>2.3395579000000002E-6</v>
      </c>
      <c r="U54" s="260"/>
      <c r="V54" s="260"/>
    </row>
    <row r="55" spans="1:23" hidden="1" outlineLevel="1">
      <c r="A55" t="s">
        <v>737</v>
      </c>
      <c r="B55" t="s">
        <v>2</v>
      </c>
      <c r="C55" s="261">
        <v>6.7136712999999999E-5</v>
      </c>
      <c r="D55" s="261">
        <v>2.151078E-4</v>
      </c>
      <c r="E55" s="261">
        <v>1.1305519999999999E-4</v>
      </c>
      <c r="F55" s="261">
        <v>1.3936579999999999E-4</v>
      </c>
      <c r="G55" s="261">
        <v>4.9782157999999998E-5</v>
      </c>
      <c r="H55" s="261">
        <v>1.3428023E-3</v>
      </c>
      <c r="I55" s="261">
        <v>1.3357721000000001E-4</v>
      </c>
      <c r="J55" s="261">
        <v>8.6579855999999994E-5</v>
      </c>
      <c r="K55" s="261">
        <v>1.1921883E-4</v>
      </c>
      <c r="L55" s="261">
        <v>5.0318333999999996E-3</v>
      </c>
      <c r="M55" s="261">
        <v>2.4279552999999999E-5</v>
      </c>
      <c r="N55" s="261">
        <v>1.2860954000000001E-6</v>
      </c>
      <c r="O55" s="261">
        <v>7.7845715999999997E-8</v>
      </c>
      <c r="P55" s="261">
        <v>1.0203795999999999E-6</v>
      </c>
      <c r="Q55" s="261">
        <v>4.7275707000000002E-7</v>
      </c>
      <c r="R55" s="261">
        <v>9.2594282E-7</v>
      </c>
      <c r="S55" s="261">
        <v>0</v>
      </c>
      <c r="T55" s="261">
        <v>1.5453031000000001E-6</v>
      </c>
      <c r="U55" s="260"/>
      <c r="V55" s="260"/>
    </row>
    <row r="56" spans="1:23" hidden="1" outlineLevel="1">
      <c r="A56" t="s">
        <v>738</v>
      </c>
      <c r="B56" t="s">
        <v>2</v>
      </c>
      <c r="C56" s="261">
        <v>7.6622901000000004E-5</v>
      </c>
      <c r="D56" s="261">
        <v>8.4669107000000005E-5</v>
      </c>
      <c r="E56" s="261">
        <v>9.6286028999999995E-6</v>
      </c>
      <c r="F56" s="261">
        <v>2.9848769999999999E-5</v>
      </c>
      <c r="G56" s="261">
        <v>4.4171507000000001E-6</v>
      </c>
      <c r="H56" s="261">
        <v>3.3834990999999999E-5</v>
      </c>
      <c r="I56" s="261">
        <v>1.9636700000000001E-5</v>
      </c>
      <c r="J56" s="261">
        <v>1.583636E-5</v>
      </c>
      <c r="K56" s="261">
        <v>2.3746155999999999E-5</v>
      </c>
      <c r="L56" s="261">
        <v>7.6120748999999999E-5</v>
      </c>
      <c r="M56" s="261">
        <v>1.3522850999999999E-6</v>
      </c>
      <c r="N56" s="261">
        <v>1.4042358E-5</v>
      </c>
      <c r="O56" s="261">
        <v>3.1851807999999999E-7</v>
      </c>
      <c r="P56" s="261">
        <v>5.5154397000000002E-6</v>
      </c>
      <c r="Q56" s="261">
        <v>1.5877695999999999E-6</v>
      </c>
      <c r="R56" s="261">
        <v>4.2795720999999997E-6</v>
      </c>
      <c r="S56" s="261">
        <v>0</v>
      </c>
      <c r="T56" s="261">
        <v>1.8566194E-6</v>
      </c>
      <c r="U56" s="260"/>
      <c r="V56" s="260"/>
    </row>
    <row r="57" spans="1:23" hidden="1" outlineLevel="1">
      <c r="A57" t="s">
        <v>739</v>
      </c>
      <c r="B57" t="s">
        <v>2</v>
      </c>
      <c r="C57" s="261">
        <v>3.0769416999999999E-3</v>
      </c>
      <c r="D57" s="261">
        <v>7.2845308999999999E-3</v>
      </c>
      <c r="E57" s="261">
        <v>1.6174702999999999E-2</v>
      </c>
      <c r="F57" s="261">
        <v>1.6872558999999999E-2</v>
      </c>
      <c r="G57" s="261">
        <v>1.5172754E-2</v>
      </c>
      <c r="H57" s="261">
        <v>1.3851212000000001E-3</v>
      </c>
      <c r="I57" s="261">
        <v>4.0892994999999999E-4</v>
      </c>
      <c r="J57" s="261">
        <v>6.9009716999999995E-4</v>
      </c>
      <c r="K57" s="261">
        <v>3.0139262000000002E-3</v>
      </c>
      <c r="L57" s="261">
        <v>1.4275316000000001E-3</v>
      </c>
      <c r="M57" s="261">
        <v>7.6202550000000003E-3</v>
      </c>
      <c r="N57" s="261">
        <v>2.5741095999999999E-5</v>
      </c>
      <c r="O57" s="261">
        <v>2.6345271999999999E-6</v>
      </c>
      <c r="P57" s="261">
        <v>7.6982864000000006E-5</v>
      </c>
      <c r="Q57" s="261">
        <v>5.5021667000000004E-6</v>
      </c>
      <c r="R57" s="261">
        <v>1.9018297999999998E-5</v>
      </c>
      <c r="S57" s="261">
        <v>0</v>
      </c>
      <c r="T57" s="261">
        <v>6.4470688E-5</v>
      </c>
      <c r="U57" s="260"/>
      <c r="V57" s="260"/>
    </row>
    <row r="58" spans="1:23" s="1" customFormat="1" collapsed="1">
      <c r="A58" s="1" t="s">
        <v>35</v>
      </c>
      <c r="B58" s="1" t="s">
        <v>2</v>
      </c>
      <c r="C58" s="259">
        <v>4.5546591000000004E-3</v>
      </c>
      <c r="D58" s="259">
        <v>4.5546591000000004E-3</v>
      </c>
      <c r="E58" s="259">
        <v>1.9519168999999999E-2</v>
      </c>
      <c r="F58" s="259">
        <v>3.6097009999999999E-2</v>
      </c>
      <c r="G58" s="259">
        <v>1.5644102E-2</v>
      </c>
      <c r="H58" s="259">
        <v>4.7952055999999996E-3</v>
      </c>
      <c r="I58" s="259">
        <v>2.7417754999999999E-3</v>
      </c>
      <c r="J58" s="259">
        <v>2.5552024E-3</v>
      </c>
      <c r="K58" s="259">
        <v>3.8990969999999998E-3</v>
      </c>
      <c r="L58" s="259">
        <v>9.9847475000000002E-3</v>
      </c>
      <c r="M58" s="259">
        <v>7.7683129000000002E-3</v>
      </c>
      <c r="N58" s="259">
        <v>2.3267173999999999E-4</v>
      </c>
      <c r="O58" s="259">
        <v>1.5118736E-4</v>
      </c>
      <c r="P58" s="259">
        <v>8.9577509999999995E-4</v>
      </c>
      <c r="Q58" s="259">
        <v>1.3161303000000001E-3</v>
      </c>
      <c r="R58" s="259">
        <v>3.5614332999999999E-4</v>
      </c>
      <c r="S58" s="259">
        <v>2.7553619999999999</v>
      </c>
      <c r="T58" s="259">
        <v>1.1498151E-4</v>
      </c>
      <c r="U58" s="260"/>
      <c r="V58" s="260"/>
    </row>
    <row r="59" spans="1:23">
      <c r="C59" t="b">
        <f t="shared" ref="C59:T59" si="6">C58=C46</f>
        <v>0</v>
      </c>
      <c r="D59" t="b">
        <f t="shared" si="6"/>
        <v>0</v>
      </c>
      <c r="E59" t="b">
        <f t="shared" si="6"/>
        <v>0</v>
      </c>
      <c r="F59" t="b">
        <f t="shared" si="6"/>
        <v>0</v>
      </c>
      <c r="G59" t="b">
        <f t="shared" si="6"/>
        <v>0</v>
      </c>
      <c r="H59" t="b">
        <f t="shared" si="6"/>
        <v>0</v>
      </c>
      <c r="I59" t="b">
        <f t="shared" si="6"/>
        <v>0</v>
      </c>
      <c r="J59" t="b">
        <f t="shared" si="6"/>
        <v>0</v>
      </c>
      <c r="K59" t="b">
        <f t="shared" si="6"/>
        <v>0</v>
      </c>
      <c r="L59" t="b">
        <f t="shared" si="6"/>
        <v>0</v>
      </c>
      <c r="M59" t="b">
        <f t="shared" si="6"/>
        <v>0</v>
      </c>
      <c r="N59" t="b">
        <f t="shared" si="6"/>
        <v>0</v>
      </c>
      <c r="O59" t="b">
        <f t="shared" si="6"/>
        <v>0</v>
      </c>
      <c r="P59" t="b">
        <f t="shared" si="6"/>
        <v>0</v>
      </c>
      <c r="Q59" t="b">
        <f t="shared" si="6"/>
        <v>0</v>
      </c>
      <c r="R59" t="b">
        <f t="shared" si="6"/>
        <v>0</v>
      </c>
      <c r="S59" t="b">
        <f t="shared" si="6"/>
        <v>0</v>
      </c>
      <c r="T59" t="b">
        <f t="shared" si="6"/>
        <v>0</v>
      </c>
      <c r="U59" s="256"/>
      <c r="V59" s="256"/>
    </row>
    <row r="60" spans="1:23">
      <c r="B60" s="23"/>
      <c r="U60" s="256"/>
      <c r="V60" s="256"/>
    </row>
    <row r="61" spans="1:23">
      <c r="A61" t="s">
        <v>570</v>
      </c>
      <c r="B61" t="s">
        <v>571</v>
      </c>
      <c r="C61" s="4"/>
      <c r="D61" s="4"/>
      <c r="E61" s="4"/>
      <c r="F61" s="4"/>
      <c r="G61" s="4"/>
      <c r="H61" s="4"/>
      <c r="I61" s="4"/>
      <c r="J61" s="4"/>
      <c r="K61" s="4"/>
      <c r="L61" s="4"/>
      <c r="M61" s="4"/>
      <c r="N61" s="4"/>
      <c r="O61" s="4"/>
      <c r="P61" s="4"/>
      <c r="Q61" s="4"/>
      <c r="R61" s="4"/>
      <c r="S61" s="4"/>
      <c r="T61" s="4"/>
      <c r="U61" s="258"/>
      <c r="V61" s="258"/>
      <c r="W61" s="4"/>
    </row>
    <row r="62" spans="1:23">
      <c r="A62" t="s">
        <v>572</v>
      </c>
      <c r="B62" t="s">
        <v>573</v>
      </c>
      <c r="G62" s="4"/>
      <c r="M62" s="4"/>
      <c r="N62" s="4"/>
      <c r="O62" s="4"/>
      <c r="P62" s="4"/>
      <c r="Q62" s="4"/>
      <c r="R62" s="4"/>
      <c r="S62" s="4"/>
      <c r="T62" s="4"/>
      <c r="U62" s="258"/>
      <c r="V62" s="258"/>
    </row>
    <row r="63" spans="1:23" hidden="1" outlineLevel="1">
      <c r="A63" t="s">
        <v>574</v>
      </c>
      <c r="B63" t="s">
        <v>605</v>
      </c>
      <c r="C63" s="4"/>
      <c r="D63" s="4"/>
      <c r="G63" s="4"/>
      <c r="H63" s="4"/>
      <c r="I63" s="4"/>
      <c r="J63" s="4"/>
      <c r="K63" s="4"/>
      <c r="L63" s="4"/>
      <c r="M63" s="4"/>
      <c r="N63" s="4"/>
      <c r="O63" s="4"/>
      <c r="Q63" s="4"/>
      <c r="R63" s="4"/>
      <c r="S63" s="4"/>
      <c r="T63" s="4"/>
      <c r="U63" s="258"/>
      <c r="V63" s="258"/>
    </row>
    <row r="64" spans="1:23" hidden="1" outlineLevel="1">
      <c r="A64" t="s">
        <v>575</v>
      </c>
      <c r="B64" t="s">
        <v>606</v>
      </c>
      <c r="C64" s="4"/>
      <c r="D64" s="4"/>
      <c r="G64" s="4"/>
      <c r="H64" s="4"/>
      <c r="I64" s="4"/>
      <c r="J64" s="4"/>
      <c r="K64" s="4"/>
      <c r="L64" s="4"/>
      <c r="M64" s="4"/>
      <c r="N64" s="4"/>
      <c r="O64" s="4"/>
      <c r="P64" s="4"/>
      <c r="Q64" s="4"/>
      <c r="R64" s="4"/>
      <c r="S64" s="4"/>
      <c r="T64" s="4"/>
      <c r="U64" s="258"/>
      <c r="V64" s="258"/>
    </row>
    <row r="65" spans="1:22" hidden="1" outlineLevel="1">
      <c r="A65" t="s">
        <v>576</v>
      </c>
      <c r="B65" t="s">
        <v>607</v>
      </c>
      <c r="C65" s="4"/>
      <c r="D65" s="4"/>
      <c r="G65" s="4"/>
      <c r="H65" s="4"/>
      <c r="I65" s="4"/>
      <c r="J65" s="4"/>
      <c r="K65" s="4"/>
      <c r="L65" s="4"/>
      <c r="M65" s="4"/>
      <c r="N65" s="4"/>
      <c r="O65" s="4"/>
      <c r="P65" s="4"/>
      <c r="Q65" s="4"/>
      <c r="R65" s="4"/>
      <c r="S65" s="4"/>
      <c r="T65" s="4"/>
      <c r="U65" s="258"/>
      <c r="V65" s="258"/>
    </row>
    <row r="66" spans="1:22" hidden="1" outlineLevel="1">
      <c r="A66" t="s">
        <v>577</v>
      </c>
      <c r="B66" t="s">
        <v>609</v>
      </c>
      <c r="C66" s="4"/>
      <c r="D66" s="4"/>
      <c r="G66" s="4"/>
      <c r="H66" s="4"/>
      <c r="I66" s="4"/>
      <c r="J66" s="4"/>
      <c r="K66" s="4"/>
      <c r="L66" s="4"/>
      <c r="M66" s="4"/>
      <c r="N66" s="4"/>
      <c r="O66" s="4"/>
      <c r="P66" s="4"/>
      <c r="Q66" s="4"/>
      <c r="R66" s="4"/>
      <c r="S66" s="4"/>
      <c r="T66" s="4"/>
      <c r="U66" s="258"/>
      <c r="V66" s="258"/>
    </row>
    <row r="67" spans="1:22" hidden="1" outlineLevel="1">
      <c r="A67" t="s">
        <v>578</v>
      </c>
      <c r="B67" t="s">
        <v>610</v>
      </c>
      <c r="C67" s="4"/>
      <c r="D67" s="4"/>
      <c r="G67" s="4"/>
      <c r="H67" s="4"/>
      <c r="I67" s="4"/>
      <c r="J67" s="4"/>
      <c r="K67" s="4"/>
      <c r="L67" s="4"/>
      <c r="M67" s="4"/>
      <c r="N67" s="4"/>
      <c r="O67" s="4"/>
      <c r="P67" s="4"/>
      <c r="Q67" s="4"/>
      <c r="R67" s="4"/>
      <c r="S67" s="4"/>
      <c r="T67" s="4"/>
      <c r="U67" s="258"/>
      <c r="V67" s="258"/>
    </row>
    <row r="68" spans="1:22" hidden="1" outlineLevel="1">
      <c r="A68" t="s">
        <v>579</v>
      </c>
      <c r="B68" t="s">
        <v>667</v>
      </c>
      <c r="C68" s="4"/>
      <c r="D68" s="4"/>
      <c r="G68" s="4"/>
      <c r="H68" s="4"/>
      <c r="I68" s="4"/>
      <c r="J68" s="4"/>
      <c r="K68" s="4"/>
      <c r="L68" s="4"/>
      <c r="M68" s="4"/>
      <c r="N68" s="4"/>
      <c r="O68" s="4"/>
      <c r="P68" s="4"/>
      <c r="Q68" s="4"/>
      <c r="R68" s="4"/>
      <c r="S68" s="4"/>
      <c r="T68" s="4"/>
      <c r="U68" s="258"/>
      <c r="V68" s="258"/>
    </row>
    <row r="69" spans="1:22" hidden="1" outlineLevel="1">
      <c r="A69" t="s">
        <v>580</v>
      </c>
      <c r="B69" t="s">
        <v>666</v>
      </c>
      <c r="C69" s="4"/>
      <c r="D69" s="4"/>
      <c r="G69" s="4"/>
      <c r="H69" s="4"/>
      <c r="I69" s="4"/>
      <c r="J69" s="4"/>
      <c r="K69" s="4"/>
      <c r="L69" s="4"/>
      <c r="M69" s="4"/>
      <c r="N69" s="4"/>
      <c r="O69" s="4"/>
      <c r="P69" s="4"/>
      <c r="Q69" s="4"/>
      <c r="R69" s="4"/>
      <c r="S69" s="4"/>
      <c r="T69" s="4"/>
      <c r="U69" s="258"/>
      <c r="V69" s="258"/>
    </row>
    <row r="70" spans="1:22" hidden="1" outlineLevel="1">
      <c r="A70" t="s">
        <v>581</v>
      </c>
      <c r="B70" t="s">
        <v>665</v>
      </c>
      <c r="C70" s="4"/>
      <c r="D70" s="4"/>
      <c r="G70" s="4"/>
      <c r="H70" s="4"/>
      <c r="I70" s="4"/>
      <c r="J70" s="4"/>
      <c r="K70" s="4"/>
      <c r="L70" s="4"/>
      <c r="M70" s="4"/>
      <c r="N70" s="4"/>
      <c r="O70" s="4"/>
      <c r="P70" s="4"/>
      <c r="Q70" s="4"/>
      <c r="R70" s="4"/>
      <c r="S70" s="4"/>
      <c r="T70" s="4"/>
      <c r="U70" s="258"/>
      <c r="V70" s="258"/>
    </row>
    <row r="71" spans="1:22" hidden="1" outlineLevel="1">
      <c r="A71" t="s">
        <v>582</v>
      </c>
      <c r="B71" t="s">
        <v>664</v>
      </c>
      <c r="C71" s="4"/>
      <c r="D71" s="4"/>
      <c r="G71" s="4"/>
      <c r="H71" s="4"/>
      <c r="I71" s="4"/>
      <c r="J71" s="4"/>
      <c r="K71" s="4"/>
      <c r="L71" s="4"/>
      <c r="M71" s="4"/>
      <c r="N71" s="4"/>
      <c r="O71" s="4"/>
      <c r="P71" s="4"/>
      <c r="Q71" s="4"/>
      <c r="R71" s="4"/>
      <c r="S71" s="4"/>
      <c r="T71" s="4"/>
      <c r="U71" s="258"/>
      <c r="V71" s="258"/>
    </row>
    <row r="72" spans="1:22" hidden="1" outlineLevel="1">
      <c r="A72" t="s">
        <v>583</v>
      </c>
      <c r="B72" t="s">
        <v>663</v>
      </c>
      <c r="C72" s="4"/>
      <c r="D72" s="4"/>
      <c r="G72" s="4"/>
      <c r="H72" s="4"/>
      <c r="I72" s="4"/>
      <c r="J72" s="4"/>
      <c r="K72" s="4"/>
      <c r="L72" s="4"/>
      <c r="M72" s="4"/>
      <c r="N72" s="4"/>
      <c r="O72" s="4"/>
      <c r="P72" s="4"/>
      <c r="Q72" s="4"/>
      <c r="R72" s="4"/>
      <c r="S72" s="4"/>
      <c r="T72" s="4"/>
      <c r="U72" s="258"/>
      <c r="V72" s="258"/>
    </row>
    <row r="73" spans="1:22" hidden="1" outlineLevel="1">
      <c r="A73" t="s">
        <v>584</v>
      </c>
      <c r="B73" t="s">
        <v>604</v>
      </c>
      <c r="C73" s="4"/>
      <c r="D73" s="4"/>
      <c r="G73" s="4"/>
      <c r="H73" s="4"/>
      <c r="I73" s="4"/>
      <c r="J73" s="4"/>
      <c r="K73" s="4"/>
      <c r="L73" s="4"/>
      <c r="M73" s="4"/>
      <c r="N73" s="4"/>
      <c r="O73" s="4"/>
      <c r="P73" s="4"/>
      <c r="Q73" s="4"/>
      <c r="R73" s="4"/>
      <c r="S73" s="4"/>
      <c r="T73" s="4"/>
      <c r="U73" s="258"/>
      <c r="V73" s="258"/>
    </row>
    <row r="74" spans="1:22" hidden="1" outlineLevel="1">
      <c r="A74" t="s">
        <v>585</v>
      </c>
      <c r="B74" t="s">
        <v>662</v>
      </c>
      <c r="C74" s="4"/>
      <c r="D74" s="4"/>
      <c r="G74" s="4"/>
      <c r="H74" s="4"/>
      <c r="I74" s="4"/>
      <c r="J74" s="4"/>
      <c r="K74" s="4"/>
      <c r="L74" s="4"/>
      <c r="M74" s="4"/>
      <c r="N74" s="4"/>
      <c r="O74" s="4"/>
      <c r="P74" s="4"/>
      <c r="Q74" s="4"/>
      <c r="R74" s="4"/>
      <c r="S74" s="4"/>
      <c r="T74" s="4"/>
      <c r="U74" s="258"/>
      <c r="V74" s="258"/>
    </row>
    <row r="75" spans="1:22" hidden="1" outlineLevel="1">
      <c r="A75" t="s">
        <v>586</v>
      </c>
      <c r="B75" t="s">
        <v>661</v>
      </c>
      <c r="C75" s="4"/>
      <c r="D75" s="4"/>
      <c r="G75" s="4"/>
      <c r="H75" s="4"/>
      <c r="I75" s="4"/>
      <c r="J75" s="4"/>
      <c r="K75" s="4"/>
      <c r="L75" s="4"/>
      <c r="M75" s="4"/>
      <c r="N75" s="4"/>
      <c r="O75" s="4"/>
      <c r="P75" s="4"/>
      <c r="Q75" s="4"/>
      <c r="R75" s="4"/>
      <c r="S75" s="4"/>
      <c r="T75" s="4"/>
      <c r="U75" s="258"/>
      <c r="V75" s="258"/>
    </row>
    <row r="76" spans="1:22" hidden="1" outlineLevel="1">
      <c r="A76" t="s">
        <v>587</v>
      </c>
      <c r="B76" t="s">
        <v>660</v>
      </c>
      <c r="C76" s="4"/>
      <c r="D76" s="4"/>
      <c r="G76" s="4"/>
      <c r="H76" s="4"/>
      <c r="I76" s="4"/>
      <c r="J76" s="4"/>
      <c r="K76" s="4"/>
      <c r="L76" s="4"/>
      <c r="M76" s="4"/>
      <c r="N76" s="4"/>
      <c r="O76" s="4"/>
      <c r="P76" s="4"/>
      <c r="Q76" s="4"/>
      <c r="R76" s="4"/>
      <c r="S76" s="4"/>
      <c r="T76" s="4"/>
      <c r="U76" s="258"/>
      <c r="V76" s="258"/>
    </row>
    <row r="77" spans="1:22" hidden="1" outlineLevel="1">
      <c r="A77" t="s">
        <v>588</v>
      </c>
      <c r="B77" t="s">
        <v>659</v>
      </c>
      <c r="C77" s="4"/>
      <c r="D77" s="4"/>
      <c r="G77" s="4"/>
      <c r="H77" s="4"/>
      <c r="I77" s="4"/>
      <c r="J77" s="4"/>
      <c r="K77" s="4"/>
      <c r="L77" s="4"/>
      <c r="M77" s="4"/>
      <c r="N77" s="4"/>
      <c r="O77" s="4"/>
      <c r="P77" s="4"/>
      <c r="Q77" s="4"/>
      <c r="R77" s="4"/>
      <c r="S77" s="4"/>
      <c r="T77" s="4"/>
      <c r="U77" s="258"/>
      <c r="V77" s="258"/>
    </row>
    <row r="78" spans="1:22" hidden="1" outlineLevel="1">
      <c r="A78" t="s">
        <v>589</v>
      </c>
      <c r="B78" t="s">
        <v>658</v>
      </c>
      <c r="C78" s="4"/>
      <c r="D78" s="4"/>
      <c r="G78" s="4"/>
      <c r="H78" s="4"/>
      <c r="I78" s="4"/>
      <c r="J78" s="4"/>
      <c r="K78" s="4"/>
      <c r="L78" s="4"/>
      <c r="M78" s="4"/>
      <c r="N78" s="4"/>
      <c r="O78" s="4"/>
      <c r="P78" s="4"/>
      <c r="Q78" s="4"/>
      <c r="R78" s="4"/>
      <c r="S78" s="4"/>
      <c r="T78" s="4"/>
      <c r="U78" s="258"/>
      <c r="V78" s="258"/>
    </row>
    <row r="79" spans="1:22" hidden="1" outlineLevel="1">
      <c r="A79" t="s">
        <v>590</v>
      </c>
      <c r="B79" t="s">
        <v>617</v>
      </c>
      <c r="C79" s="4"/>
      <c r="D79" s="4"/>
      <c r="G79" s="4"/>
      <c r="H79" s="4"/>
      <c r="I79" s="4"/>
      <c r="J79" s="4"/>
      <c r="K79" s="4"/>
      <c r="L79" s="4"/>
      <c r="M79" s="4"/>
      <c r="N79" s="4"/>
      <c r="O79" s="4"/>
      <c r="P79" s="4"/>
      <c r="Q79" s="4"/>
      <c r="R79" s="4"/>
      <c r="S79" s="4"/>
      <c r="T79" s="4"/>
      <c r="U79" s="258"/>
      <c r="V79" s="258"/>
    </row>
    <row r="80" spans="1:22" hidden="1" outlineLevel="1">
      <c r="A80" t="s">
        <v>591</v>
      </c>
      <c r="B80" t="s">
        <v>618</v>
      </c>
      <c r="C80" s="4"/>
      <c r="D80" s="4"/>
      <c r="G80" s="4"/>
      <c r="H80" s="4"/>
      <c r="I80" s="4"/>
      <c r="J80" s="4"/>
      <c r="K80" s="4"/>
      <c r="L80" s="4"/>
      <c r="M80" s="4"/>
      <c r="N80" s="4"/>
      <c r="O80" s="4"/>
      <c r="P80" s="4"/>
      <c r="Q80" s="4"/>
      <c r="R80" s="4"/>
      <c r="S80" s="4"/>
      <c r="T80" s="4"/>
      <c r="U80" s="258"/>
      <c r="V80" s="258"/>
    </row>
    <row r="81" spans="1:22" hidden="1" outlineLevel="1">
      <c r="A81" t="s">
        <v>523</v>
      </c>
      <c r="B81" t="s">
        <v>397</v>
      </c>
      <c r="C81" s="4"/>
      <c r="D81" s="4"/>
      <c r="G81" s="4"/>
      <c r="H81" s="4"/>
      <c r="I81" s="4"/>
      <c r="J81" s="4"/>
      <c r="K81" s="4"/>
      <c r="L81" s="4"/>
      <c r="M81" s="4"/>
      <c r="N81" s="4"/>
      <c r="O81" s="4"/>
      <c r="P81" s="4"/>
      <c r="Q81" s="4"/>
      <c r="R81" s="4"/>
      <c r="S81" s="4"/>
      <c r="T81" s="4"/>
      <c r="U81" s="258"/>
      <c r="V81" s="258"/>
    </row>
    <row r="82" spans="1:22" hidden="1" outlineLevel="1">
      <c r="A82" t="s">
        <v>524</v>
      </c>
      <c r="B82" t="s">
        <v>536</v>
      </c>
      <c r="C82" s="4"/>
      <c r="D82" s="4"/>
      <c r="G82" s="4"/>
      <c r="H82" s="4"/>
      <c r="I82" s="4"/>
      <c r="J82" s="4"/>
      <c r="K82" s="4"/>
      <c r="L82" s="4"/>
      <c r="M82" s="4"/>
      <c r="N82" s="4"/>
      <c r="O82" s="4"/>
      <c r="P82" s="4"/>
      <c r="Q82" s="4"/>
      <c r="R82" s="4"/>
      <c r="S82" s="4"/>
      <c r="T82" s="4"/>
      <c r="U82" s="258"/>
      <c r="V82" s="258"/>
    </row>
    <row r="83" spans="1:22" hidden="1" outlineLevel="1">
      <c r="A83" t="s">
        <v>595</v>
      </c>
      <c r="B83" t="s">
        <v>341</v>
      </c>
      <c r="C83" s="4"/>
      <c r="D83" s="4"/>
      <c r="G83" s="4"/>
      <c r="H83" s="4"/>
      <c r="I83" s="4"/>
      <c r="J83" s="4"/>
      <c r="K83" s="4"/>
      <c r="L83" s="4"/>
      <c r="M83" s="4"/>
      <c r="N83" s="4"/>
      <c r="O83" s="4"/>
      <c r="P83" s="4"/>
      <c r="Q83" s="4"/>
      <c r="R83" s="4"/>
      <c r="S83" s="4"/>
      <c r="T83" s="4"/>
      <c r="U83" s="258"/>
      <c r="V83" s="258"/>
    </row>
    <row r="84" spans="1:22" hidden="1" outlineLevel="1">
      <c r="A84" t="s">
        <v>526</v>
      </c>
      <c r="B84" t="s">
        <v>657</v>
      </c>
      <c r="C84" s="4"/>
      <c r="D84" s="4"/>
      <c r="G84" s="4"/>
      <c r="H84" s="4"/>
      <c r="I84" s="4"/>
      <c r="J84" s="4"/>
      <c r="K84" s="4"/>
      <c r="L84" s="4"/>
      <c r="M84" s="4"/>
      <c r="N84" s="4"/>
      <c r="O84" s="4"/>
      <c r="P84" s="4"/>
      <c r="Q84" s="4"/>
      <c r="R84" s="4"/>
      <c r="S84" s="4"/>
      <c r="T84" s="4"/>
      <c r="U84" s="258"/>
      <c r="V84" s="258"/>
    </row>
    <row r="85" spans="1:22" hidden="1" outlineLevel="1">
      <c r="A85" t="s">
        <v>527</v>
      </c>
      <c r="B85" t="s">
        <v>528</v>
      </c>
      <c r="C85" s="4"/>
      <c r="D85" s="4"/>
      <c r="G85" s="4"/>
      <c r="H85" s="4"/>
      <c r="I85" s="4"/>
      <c r="J85" s="4"/>
      <c r="K85" s="4"/>
      <c r="L85" s="4"/>
      <c r="M85" s="4"/>
      <c r="N85" s="4"/>
      <c r="O85" s="4"/>
      <c r="P85" s="4"/>
      <c r="Q85" s="4"/>
      <c r="R85" s="4"/>
      <c r="S85" s="4"/>
      <c r="T85" s="4"/>
      <c r="U85" s="258"/>
      <c r="V85" s="258"/>
    </row>
    <row r="86" spans="1:22" hidden="1" outlineLevel="1">
      <c r="A86" t="s">
        <v>529</v>
      </c>
      <c r="B86" t="s">
        <v>528</v>
      </c>
      <c r="C86" s="4"/>
      <c r="D86" s="4"/>
      <c r="G86" s="4"/>
      <c r="H86" s="4"/>
      <c r="I86" s="4"/>
      <c r="J86" s="4"/>
      <c r="K86" s="4"/>
      <c r="L86" s="4"/>
      <c r="M86" s="4"/>
      <c r="N86" s="4"/>
      <c r="O86" s="4"/>
      <c r="P86" s="4"/>
      <c r="Q86" s="4"/>
      <c r="R86" s="4"/>
      <c r="S86" s="4"/>
      <c r="T86" s="4"/>
      <c r="U86" s="258"/>
      <c r="V86" s="258"/>
    </row>
    <row r="87" spans="1:22" hidden="1" outlineLevel="1">
      <c r="A87" t="s">
        <v>596</v>
      </c>
      <c r="B87" t="s">
        <v>537</v>
      </c>
      <c r="C87" s="4"/>
      <c r="D87" s="4"/>
      <c r="G87" s="4"/>
      <c r="H87" s="4"/>
      <c r="I87" s="4"/>
      <c r="J87" s="4"/>
      <c r="K87" s="4"/>
      <c r="L87" s="4"/>
      <c r="M87" s="4"/>
      <c r="N87" s="4"/>
      <c r="O87" s="4"/>
      <c r="P87" s="4"/>
      <c r="Q87" s="4"/>
      <c r="R87" s="4"/>
      <c r="S87" s="4"/>
      <c r="T87" s="4"/>
      <c r="U87" s="258"/>
      <c r="V87" s="258"/>
    </row>
    <row r="88" spans="1:22" hidden="1" outlineLevel="1">
      <c r="A88" t="s">
        <v>597</v>
      </c>
      <c r="B88" t="s">
        <v>598</v>
      </c>
      <c r="C88" s="4"/>
      <c r="D88" s="4"/>
      <c r="E88" s="4"/>
      <c r="F88" s="4"/>
      <c r="G88" s="4"/>
      <c r="H88" s="4"/>
      <c r="I88" s="4"/>
      <c r="J88" s="4"/>
      <c r="K88" s="4"/>
      <c r="L88" s="4"/>
      <c r="M88" s="4"/>
      <c r="N88" s="4"/>
      <c r="O88" s="4"/>
      <c r="P88" s="4"/>
      <c r="Q88" s="4"/>
      <c r="R88" s="4"/>
      <c r="S88" s="4"/>
      <c r="T88" s="4"/>
      <c r="U88" s="258"/>
      <c r="V88" s="258"/>
    </row>
    <row r="89" spans="1:22" hidden="1" outlineLevel="1">
      <c r="N89" s="4"/>
      <c r="P89" s="4"/>
      <c r="Q89" s="4"/>
      <c r="R89" s="4"/>
      <c r="S89" s="4"/>
      <c r="T89" s="4"/>
      <c r="U89" s="256"/>
      <c r="V89" s="256"/>
    </row>
    <row r="90" spans="1:22" collapsed="1">
      <c r="A90" t="s">
        <v>537</v>
      </c>
      <c r="B90" t="s">
        <v>533</v>
      </c>
      <c r="C90" t="s">
        <v>626</v>
      </c>
      <c r="D90" t="s">
        <v>627</v>
      </c>
      <c r="E90" t="s">
        <v>4</v>
      </c>
      <c r="F90" t="s">
        <v>294</v>
      </c>
      <c r="G90" t="s">
        <v>3</v>
      </c>
      <c r="H90" t="s">
        <v>656</v>
      </c>
      <c r="I90" t="s">
        <v>655</v>
      </c>
      <c r="J90" t="s">
        <v>654</v>
      </c>
      <c r="K90" t="s">
        <v>653</v>
      </c>
      <c r="L90" t="s">
        <v>652</v>
      </c>
      <c r="M90" t="s">
        <v>59</v>
      </c>
      <c r="N90" t="s">
        <v>651</v>
      </c>
      <c r="O90" t="s">
        <v>650</v>
      </c>
      <c r="P90" t="s">
        <v>649</v>
      </c>
      <c r="Q90" t="s">
        <v>648</v>
      </c>
      <c r="R90" t="s">
        <v>647</v>
      </c>
      <c r="S90" t="s">
        <v>368</v>
      </c>
      <c r="T90" t="s">
        <v>9</v>
      </c>
      <c r="U90" s="256"/>
      <c r="V90" s="256"/>
    </row>
    <row r="91" spans="1:22" s="1" customFormat="1">
      <c r="A91" s="1" t="s">
        <v>40</v>
      </c>
      <c r="B91" s="1" t="s">
        <v>41</v>
      </c>
      <c r="C91" s="1">
        <v>0.1223134</v>
      </c>
      <c r="D91" s="1">
        <v>0.63959745000000001</v>
      </c>
      <c r="E91" s="1">
        <v>0.31617341999999998</v>
      </c>
      <c r="F91" s="1">
        <v>0.32757436000000001</v>
      </c>
      <c r="G91" s="1">
        <v>0.24585667</v>
      </c>
      <c r="H91" s="1">
        <v>0.10843907</v>
      </c>
      <c r="I91" s="1">
        <v>0.11659762</v>
      </c>
      <c r="J91" s="1">
        <v>0.13632652000000001</v>
      </c>
      <c r="K91" s="1">
        <v>0.12393803</v>
      </c>
      <c r="L91" s="1">
        <v>5.6894106E-2</v>
      </c>
      <c r="M91" s="1">
        <v>0.12176943</v>
      </c>
      <c r="N91" s="1">
        <v>1.5660085E-3</v>
      </c>
      <c r="O91" s="1">
        <v>7.9560549E-4</v>
      </c>
      <c r="P91" s="1">
        <v>1.3403582000000001E-2</v>
      </c>
      <c r="Q91" s="1">
        <v>1.5490222E-3</v>
      </c>
      <c r="R91" s="1">
        <v>1.6391924E-3</v>
      </c>
      <c r="S91" s="1">
        <v>0</v>
      </c>
      <c r="T91" s="1">
        <v>2.5531663E-3</v>
      </c>
      <c r="U91" s="256">
        <f>EPD!M20</f>
        <v>0</v>
      </c>
      <c r="V91" s="256">
        <f>EPD!M35</f>
        <v>0</v>
      </c>
    </row>
    <row r="92" spans="1:22" s="1" customFormat="1">
      <c r="A92" s="1" t="s">
        <v>40</v>
      </c>
      <c r="B92" s="1" t="s">
        <v>41</v>
      </c>
      <c r="C92" s="1">
        <v>0.11747769</v>
      </c>
      <c r="D92" s="1">
        <v>0.11747769</v>
      </c>
      <c r="E92" s="1">
        <v>0.31754236000000002</v>
      </c>
      <c r="F92" s="1">
        <v>0.32947851</v>
      </c>
      <c r="G92" s="1">
        <v>0.24591528000000001</v>
      </c>
      <c r="H92" s="1">
        <v>0.11090811</v>
      </c>
      <c r="I92" s="1">
        <v>0.1163343</v>
      </c>
      <c r="J92" s="1">
        <v>0.14530800999999999</v>
      </c>
      <c r="K92" s="1">
        <v>0.12369805</v>
      </c>
      <c r="L92" s="1">
        <v>5.8292060999999999E-2</v>
      </c>
      <c r="M92" s="1">
        <v>0.12157551</v>
      </c>
      <c r="N92" s="1">
        <v>1.6153630999999999E-3</v>
      </c>
      <c r="O92" s="1">
        <v>8.0073236000000004E-4</v>
      </c>
      <c r="P92" s="1">
        <v>1.3363867E-2</v>
      </c>
      <c r="Q92" s="1">
        <v>1.5527224E-3</v>
      </c>
      <c r="R92" s="1">
        <v>1.6647952E-3</v>
      </c>
      <c r="S92" s="1">
        <v>0</v>
      </c>
      <c r="T92" s="1">
        <v>2.5004200000000002E-3</v>
      </c>
      <c r="U92" s="256"/>
      <c r="V92" s="256"/>
    </row>
    <row r="93" spans="1:22" s="1" customFormat="1">
      <c r="U93" s="256"/>
      <c r="V93" s="256"/>
    </row>
    <row r="94" spans="1:22">
      <c r="B94" s="23"/>
      <c r="U94" s="256"/>
      <c r="V94" s="256"/>
    </row>
    <row r="95" spans="1:22" hidden="1" outlineLevel="1">
      <c r="A95" t="s">
        <v>570</v>
      </c>
      <c r="B95" t="s">
        <v>571</v>
      </c>
      <c r="U95" s="256"/>
      <c r="V95" s="256"/>
    </row>
    <row r="96" spans="1:22" collapsed="1">
      <c r="A96" t="s">
        <v>572</v>
      </c>
      <c r="B96" t="s">
        <v>573</v>
      </c>
      <c r="U96" s="256"/>
      <c r="V96" s="256"/>
    </row>
    <row r="97" spans="1:22" hidden="1" outlineLevel="1">
      <c r="A97" t="s">
        <v>574</v>
      </c>
      <c r="B97" t="s">
        <v>605</v>
      </c>
      <c r="U97" s="256"/>
      <c r="V97" s="256"/>
    </row>
    <row r="98" spans="1:22" hidden="1" outlineLevel="1">
      <c r="A98" t="s">
        <v>575</v>
      </c>
      <c r="B98" t="s">
        <v>606</v>
      </c>
      <c r="U98" s="256"/>
      <c r="V98" s="256"/>
    </row>
    <row r="99" spans="1:22" hidden="1" outlineLevel="1">
      <c r="A99" t="s">
        <v>576</v>
      </c>
      <c r="B99" t="s">
        <v>607</v>
      </c>
      <c r="U99" s="256"/>
      <c r="V99" s="256"/>
    </row>
    <row r="100" spans="1:22" hidden="1" outlineLevel="1">
      <c r="A100" t="s">
        <v>577</v>
      </c>
      <c r="B100" t="s">
        <v>609</v>
      </c>
      <c r="U100" s="256"/>
      <c r="V100" s="256"/>
    </row>
    <row r="101" spans="1:22" hidden="1" outlineLevel="1">
      <c r="A101" t="s">
        <v>578</v>
      </c>
      <c r="B101" t="s">
        <v>610</v>
      </c>
      <c r="U101" s="256"/>
      <c r="V101" s="256"/>
    </row>
    <row r="102" spans="1:22" hidden="1" outlineLevel="1">
      <c r="A102" t="s">
        <v>579</v>
      </c>
      <c r="B102" t="s">
        <v>667</v>
      </c>
      <c r="U102" s="256"/>
      <c r="V102" s="256"/>
    </row>
    <row r="103" spans="1:22" hidden="1" outlineLevel="1">
      <c r="A103" t="s">
        <v>580</v>
      </c>
      <c r="B103" t="s">
        <v>666</v>
      </c>
      <c r="U103" s="256"/>
      <c r="V103" s="256"/>
    </row>
    <row r="104" spans="1:22" hidden="1" outlineLevel="1">
      <c r="A104" t="s">
        <v>581</v>
      </c>
      <c r="B104" t="s">
        <v>665</v>
      </c>
      <c r="U104" s="256"/>
      <c r="V104" s="256"/>
    </row>
    <row r="105" spans="1:22" hidden="1" outlineLevel="1">
      <c r="A105" t="s">
        <v>582</v>
      </c>
      <c r="B105" t="s">
        <v>664</v>
      </c>
      <c r="U105" s="256"/>
      <c r="V105" s="256"/>
    </row>
    <row r="106" spans="1:22" hidden="1" outlineLevel="1">
      <c r="A106" t="s">
        <v>583</v>
      </c>
      <c r="B106" t="s">
        <v>663</v>
      </c>
      <c r="U106" s="256"/>
      <c r="V106" s="256"/>
    </row>
    <row r="107" spans="1:22" hidden="1" outlineLevel="1">
      <c r="A107" t="s">
        <v>584</v>
      </c>
      <c r="B107" t="s">
        <v>604</v>
      </c>
      <c r="U107" s="256"/>
      <c r="V107" s="256"/>
    </row>
    <row r="108" spans="1:22" hidden="1" outlineLevel="1">
      <c r="A108" t="s">
        <v>585</v>
      </c>
      <c r="B108" t="s">
        <v>662</v>
      </c>
      <c r="U108" s="256"/>
      <c r="V108" s="256"/>
    </row>
    <row r="109" spans="1:22" hidden="1" outlineLevel="1">
      <c r="A109" t="s">
        <v>586</v>
      </c>
      <c r="B109" t="s">
        <v>661</v>
      </c>
      <c r="U109" s="256"/>
      <c r="V109" s="256"/>
    </row>
    <row r="110" spans="1:22" hidden="1" outlineLevel="1">
      <c r="A110" t="s">
        <v>587</v>
      </c>
      <c r="B110" t="s">
        <v>660</v>
      </c>
      <c r="U110" s="256"/>
      <c r="V110" s="256"/>
    </row>
    <row r="111" spans="1:22" hidden="1" outlineLevel="1">
      <c r="A111" t="s">
        <v>588</v>
      </c>
      <c r="B111" t="s">
        <v>659</v>
      </c>
      <c r="U111" s="256"/>
      <c r="V111" s="256"/>
    </row>
    <row r="112" spans="1:22" hidden="1" outlineLevel="1">
      <c r="A112" t="s">
        <v>589</v>
      </c>
      <c r="B112" t="s">
        <v>658</v>
      </c>
      <c r="U112" s="256"/>
      <c r="V112" s="256"/>
    </row>
    <row r="113" spans="1:22" hidden="1" outlineLevel="1">
      <c r="A113" t="s">
        <v>590</v>
      </c>
      <c r="B113" t="s">
        <v>617</v>
      </c>
      <c r="U113" s="256"/>
      <c r="V113" s="256"/>
    </row>
    <row r="114" spans="1:22" hidden="1" outlineLevel="1">
      <c r="A114" t="s">
        <v>591</v>
      </c>
      <c r="B114" t="s">
        <v>618</v>
      </c>
      <c r="U114" s="256"/>
      <c r="V114" s="256"/>
    </row>
    <row r="115" spans="1:22" hidden="1" outlineLevel="1">
      <c r="A115" t="s">
        <v>523</v>
      </c>
      <c r="B115" t="s">
        <v>602</v>
      </c>
      <c r="U115" s="256"/>
      <c r="V115" s="256"/>
    </row>
    <row r="116" spans="1:22" hidden="1" outlineLevel="1">
      <c r="A116" t="s">
        <v>524</v>
      </c>
      <c r="B116" t="s">
        <v>525</v>
      </c>
      <c r="U116" s="256"/>
      <c r="V116" s="256"/>
    </row>
    <row r="117" spans="1:22" hidden="1" outlineLevel="1">
      <c r="A117" t="s">
        <v>595</v>
      </c>
      <c r="B117" t="s">
        <v>603</v>
      </c>
      <c r="U117" s="256"/>
      <c r="V117" s="256"/>
    </row>
    <row r="118" spans="1:22" hidden="1" outlineLevel="1">
      <c r="A118" t="s">
        <v>526</v>
      </c>
      <c r="B118" t="s">
        <v>657</v>
      </c>
      <c r="U118" s="256"/>
      <c r="V118" s="256"/>
    </row>
    <row r="119" spans="1:22" hidden="1" outlineLevel="1">
      <c r="A119" t="s">
        <v>527</v>
      </c>
      <c r="B119" t="s">
        <v>528</v>
      </c>
      <c r="U119" s="256"/>
      <c r="V119" s="256"/>
    </row>
    <row r="120" spans="1:22" hidden="1" outlineLevel="1">
      <c r="A120" t="s">
        <v>529</v>
      </c>
      <c r="B120" t="s">
        <v>528</v>
      </c>
      <c r="U120" s="256"/>
      <c r="V120" s="256"/>
    </row>
    <row r="121" spans="1:22" hidden="1" outlineLevel="1">
      <c r="A121" t="s">
        <v>596</v>
      </c>
      <c r="B121" t="s">
        <v>537</v>
      </c>
      <c r="U121" s="256"/>
      <c r="V121" s="256"/>
    </row>
    <row r="122" spans="1:22" hidden="1" outlineLevel="1">
      <c r="A122" t="s">
        <v>597</v>
      </c>
      <c r="B122" t="s">
        <v>598</v>
      </c>
      <c r="U122" s="256"/>
      <c r="V122" s="256"/>
    </row>
    <row r="123" spans="1:22" hidden="1" outlineLevel="1">
      <c r="U123" s="256"/>
      <c r="V123" s="256"/>
    </row>
    <row r="124" spans="1:22" collapsed="1">
      <c r="A124" t="s">
        <v>537</v>
      </c>
      <c r="B124" t="s">
        <v>533</v>
      </c>
      <c r="C124" t="s">
        <v>626</v>
      </c>
      <c r="D124" t="s">
        <v>627</v>
      </c>
      <c r="E124" t="s">
        <v>4</v>
      </c>
      <c r="F124" t="s">
        <v>294</v>
      </c>
      <c r="G124" t="s">
        <v>3</v>
      </c>
      <c r="H124" t="s">
        <v>656</v>
      </c>
      <c r="I124" t="s">
        <v>655</v>
      </c>
      <c r="J124" t="s">
        <v>654</v>
      </c>
      <c r="K124" t="s">
        <v>653</v>
      </c>
      <c r="L124" t="s">
        <v>652</v>
      </c>
      <c r="M124" t="s">
        <v>59</v>
      </c>
      <c r="N124" t="s">
        <v>651</v>
      </c>
      <c r="O124" t="s">
        <v>650</v>
      </c>
      <c r="P124" t="s">
        <v>649</v>
      </c>
      <c r="Q124" t="s">
        <v>648</v>
      </c>
      <c r="R124" t="s">
        <v>647</v>
      </c>
      <c r="S124" t="s">
        <v>368</v>
      </c>
      <c r="T124" t="s">
        <v>9</v>
      </c>
      <c r="U124" s="256"/>
      <c r="V124" s="256"/>
    </row>
    <row r="125" spans="1:22" s="1" customFormat="1">
      <c r="A125" s="1" t="s">
        <v>35</v>
      </c>
      <c r="B125" s="1" t="s">
        <v>603</v>
      </c>
      <c r="C125" s="1">
        <v>8.7182656999999999</v>
      </c>
      <c r="D125" s="1">
        <v>10.354226000000001</v>
      </c>
      <c r="E125" s="1">
        <v>4.6040687</v>
      </c>
      <c r="F125" s="1">
        <v>4.8782626999999996</v>
      </c>
      <c r="G125" s="1">
        <v>4.2853535999999997</v>
      </c>
      <c r="H125" s="1">
        <v>0.85965402999999996</v>
      </c>
      <c r="I125" s="1">
        <v>0.62090071000000002</v>
      </c>
      <c r="J125" s="1">
        <v>0.63756135999999997</v>
      </c>
      <c r="K125" s="1">
        <v>1.6066562</v>
      </c>
      <c r="L125" s="1">
        <v>0.57349784000000004</v>
      </c>
      <c r="M125" s="1">
        <v>2.1377321</v>
      </c>
      <c r="N125" s="1">
        <v>1.4708765E-2</v>
      </c>
      <c r="O125" s="1">
        <v>1.8190096999999999E-3</v>
      </c>
      <c r="P125" s="1">
        <v>2.9482703999999998E-2</v>
      </c>
      <c r="Q125" s="1">
        <v>2.0871409999999998E-3</v>
      </c>
      <c r="R125" s="1">
        <v>7.6863603999999999E-3</v>
      </c>
      <c r="S125" s="1">
        <v>0</v>
      </c>
      <c r="T125" s="1">
        <v>0.12260948000000001</v>
      </c>
      <c r="U125" s="274">
        <f>EPD!N20</f>
        <v>0</v>
      </c>
      <c r="V125" s="256">
        <f>EPD!N35</f>
        <v>0</v>
      </c>
    </row>
    <row r="126" spans="1:22">
      <c r="A126" t="s">
        <v>43</v>
      </c>
      <c r="B126" t="s">
        <v>603</v>
      </c>
      <c r="C126">
        <v>1.5430854000000001</v>
      </c>
      <c r="D126">
        <v>7.3373023999999996</v>
      </c>
      <c r="E126">
        <v>4.5379041999999998</v>
      </c>
      <c r="F126">
        <v>4.8100909999999999</v>
      </c>
      <c r="G126">
        <v>4.2649385000000004</v>
      </c>
      <c r="H126">
        <v>0.45460898999999999</v>
      </c>
      <c r="I126">
        <v>0.17090135000000001</v>
      </c>
      <c r="J126">
        <v>0.24368163000000001</v>
      </c>
      <c r="K126">
        <v>0.91987405</v>
      </c>
      <c r="L126">
        <v>0.48397892999999997</v>
      </c>
      <c r="M126">
        <v>2.1348805</v>
      </c>
      <c r="N126">
        <v>1.2021442E-2</v>
      </c>
      <c r="O126">
        <v>1.4794915E-3</v>
      </c>
      <c r="P126">
        <v>2.6340202E-2</v>
      </c>
      <c r="Q126">
        <v>1.9116112E-3</v>
      </c>
      <c r="R126">
        <v>6.9724501999999999E-3</v>
      </c>
      <c r="S126">
        <v>0</v>
      </c>
      <c r="T126">
        <v>3.1130345E-2</v>
      </c>
      <c r="U126" s="256"/>
      <c r="V126" s="256"/>
    </row>
    <row r="127" spans="1:22">
      <c r="A127" t="s">
        <v>44</v>
      </c>
      <c r="B127" t="s">
        <v>603</v>
      </c>
      <c r="C127">
        <v>7.1751794000000002</v>
      </c>
      <c r="D127">
        <v>3.0169218</v>
      </c>
      <c r="E127">
        <v>6.6159682999999997E-2</v>
      </c>
      <c r="F127">
        <v>6.8165668999999998E-2</v>
      </c>
      <c r="G127">
        <v>2.041159E-2</v>
      </c>
      <c r="H127">
        <v>0.40503992999999999</v>
      </c>
      <c r="I127">
        <v>0.44999520999999998</v>
      </c>
      <c r="J127">
        <v>0.39387548999999999</v>
      </c>
      <c r="K127">
        <v>0.68677745000000001</v>
      </c>
      <c r="L127">
        <v>8.9511571999999998E-2</v>
      </c>
      <c r="M127">
        <v>2.8494825000000001E-3</v>
      </c>
      <c r="N127">
        <v>2.6872736999999998E-3</v>
      </c>
      <c r="O127">
        <v>3.3951709999999999E-4</v>
      </c>
      <c r="P127">
        <v>3.1424730999999998E-3</v>
      </c>
      <c r="Q127">
        <v>1.7552805000000001E-4</v>
      </c>
      <c r="R127">
        <v>7.1390167999999996E-4</v>
      </c>
      <c r="S127">
        <v>0</v>
      </c>
      <c r="T127">
        <v>9.1475961999999994E-2</v>
      </c>
      <c r="U127" s="256"/>
      <c r="V127" s="256"/>
    </row>
    <row r="128" spans="1:22">
      <c r="A128" t="s">
        <v>740</v>
      </c>
      <c r="B128" t="s">
        <v>603</v>
      </c>
      <c r="C128">
        <v>0</v>
      </c>
      <c r="D128">
        <v>0</v>
      </c>
      <c r="E128">
        <v>0</v>
      </c>
      <c r="F128">
        <v>0</v>
      </c>
      <c r="G128">
        <v>0</v>
      </c>
      <c r="H128">
        <v>0</v>
      </c>
      <c r="I128">
        <v>0</v>
      </c>
      <c r="J128">
        <v>0</v>
      </c>
      <c r="K128">
        <v>0</v>
      </c>
      <c r="L128">
        <v>0</v>
      </c>
      <c r="M128">
        <v>0</v>
      </c>
      <c r="N128">
        <v>0</v>
      </c>
      <c r="O128">
        <v>0</v>
      </c>
      <c r="P128">
        <v>0</v>
      </c>
      <c r="Q128">
        <v>0</v>
      </c>
      <c r="R128">
        <v>0</v>
      </c>
      <c r="S128">
        <v>0</v>
      </c>
      <c r="T128">
        <v>0</v>
      </c>
      <c r="U128" s="256"/>
      <c r="V128" s="256"/>
    </row>
    <row r="129" spans="1:22">
      <c r="A129" t="s">
        <v>741</v>
      </c>
      <c r="B129" t="s">
        <v>603</v>
      </c>
      <c r="C129">
        <v>0</v>
      </c>
      <c r="D129">
        <v>0</v>
      </c>
      <c r="E129">
        <v>0</v>
      </c>
      <c r="F129">
        <v>0</v>
      </c>
      <c r="G129">
        <v>0</v>
      </c>
      <c r="H129">
        <v>0</v>
      </c>
      <c r="I129">
        <v>0</v>
      </c>
      <c r="J129">
        <v>0</v>
      </c>
      <c r="K129">
        <v>0</v>
      </c>
      <c r="L129">
        <v>0</v>
      </c>
      <c r="M129">
        <v>0</v>
      </c>
      <c r="N129">
        <v>0</v>
      </c>
      <c r="O129">
        <v>0</v>
      </c>
      <c r="P129">
        <v>0</v>
      </c>
      <c r="Q129">
        <v>0</v>
      </c>
      <c r="R129">
        <v>0</v>
      </c>
      <c r="S129">
        <v>0</v>
      </c>
      <c r="T129">
        <v>0</v>
      </c>
      <c r="U129" s="256"/>
      <c r="V129" s="256"/>
    </row>
    <row r="130" spans="1:22">
      <c r="A130" t="s">
        <v>742</v>
      </c>
      <c r="B130" t="s">
        <v>603</v>
      </c>
      <c r="C130">
        <v>0</v>
      </c>
      <c r="D130">
        <v>0</v>
      </c>
      <c r="E130">
        <v>0</v>
      </c>
      <c r="F130">
        <v>0</v>
      </c>
      <c r="G130">
        <v>0</v>
      </c>
      <c r="H130">
        <v>0</v>
      </c>
      <c r="I130">
        <v>0</v>
      </c>
      <c r="J130">
        <v>0</v>
      </c>
      <c r="K130">
        <v>0</v>
      </c>
      <c r="L130">
        <v>0</v>
      </c>
      <c r="M130">
        <v>0</v>
      </c>
      <c r="N130">
        <v>0</v>
      </c>
      <c r="O130">
        <v>0</v>
      </c>
      <c r="P130">
        <v>0</v>
      </c>
      <c r="Q130">
        <v>0</v>
      </c>
      <c r="R130">
        <v>0</v>
      </c>
      <c r="S130">
        <v>0</v>
      </c>
      <c r="T130">
        <v>0</v>
      </c>
      <c r="U130" s="256"/>
      <c r="V130" s="256"/>
    </row>
    <row r="131" spans="1:22">
      <c r="A131" t="s">
        <v>743</v>
      </c>
      <c r="B131" t="s">
        <v>603</v>
      </c>
      <c r="C131">
        <v>0</v>
      </c>
      <c r="D131">
        <v>0</v>
      </c>
      <c r="E131">
        <v>0</v>
      </c>
      <c r="F131">
        <v>0</v>
      </c>
      <c r="G131">
        <v>0</v>
      </c>
      <c r="H131">
        <v>0</v>
      </c>
      <c r="I131">
        <v>0</v>
      </c>
      <c r="J131">
        <v>0</v>
      </c>
      <c r="K131">
        <v>0</v>
      </c>
      <c r="L131">
        <v>0</v>
      </c>
      <c r="M131">
        <v>0</v>
      </c>
      <c r="N131">
        <v>0</v>
      </c>
      <c r="O131">
        <v>0</v>
      </c>
      <c r="P131">
        <v>0</v>
      </c>
      <c r="Q131">
        <v>0</v>
      </c>
      <c r="R131">
        <v>0</v>
      </c>
      <c r="S131">
        <v>0</v>
      </c>
      <c r="T131">
        <v>0</v>
      </c>
      <c r="U131" s="256"/>
      <c r="V131" s="256"/>
    </row>
    <row r="132" spans="1:22">
      <c r="A132" t="s">
        <v>45</v>
      </c>
      <c r="B132" t="s">
        <v>603</v>
      </c>
      <c r="C132">
        <v>9.0906134999999999E-7</v>
      </c>
      <c r="D132">
        <v>2.1563572999999999E-6</v>
      </c>
      <c r="E132">
        <v>4.8243442999999999E-6</v>
      </c>
      <c r="F132">
        <v>5.9996937999999999E-6</v>
      </c>
      <c r="G132">
        <v>3.4842722000000002E-6</v>
      </c>
      <c r="H132">
        <v>5.1046434000000001E-6</v>
      </c>
      <c r="I132">
        <v>4.1418137E-6</v>
      </c>
      <c r="J132">
        <v>4.2353840999999996E-6</v>
      </c>
      <c r="K132">
        <v>4.7026575000000003E-6</v>
      </c>
      <c r="L132">
        <v>7.3387184000000004E-6</v>
      </c>
      <c r="M132">
        <v>2.1639163E-6</v>
      </c>
      <c r="N132">
        <v>4.9626233000000002E-8</v>
      </c>
      <c r="O132">
        <v>1.0867643E-9</v>
      </c>
      <c r="P132">
        <v>2.9759025E-8</v>
      </c>
      <c r="Q132">
        <v>1.7015695E-9</v>
      </c>
      <c r="R132">
        <v>8.4511567999999994E-9</v>
      </c>
      <c r="S132">
        <v>0</v>
      </c>
      <c r="T132">
        <v>3.1711622999999998E-6</v>
      </c>
      <c r="U132" s="256"/>
      <c r="V132" s="256"/>
    </row>
    <row r="133" spans="1:22">
      <c r="A133" t="s">
        <v>744</v>
      </c>
      <c r="B133" t="s">
        <v>603</v>
      </c>
      <c r="C133">
        <v>0</v>
      </c>
      <c r="D133">
        <v>0</v>
      </c>
      <c r="E133">
        <v>0</v>
      </c>
      <c r="F133">
        <v>0</v>
      </c>
      <c r="G133">
        <v>0</v>
      </c>
      <c r="H133">
        <v>0</v>
      </c>
      <c r="I133">
        <v>0</v>
      </c>
      <c r="J133">
        <v>0</v>
      </c>
      <c r="K133">
        <v>0</v>
      </c>
      <c r="L133">
        <v>0</v>
      </c>
      <c r="M133">
        <v>0</v>
      </c>
      <c r="N133">
        <v>0</v>
      </c>
      <c r="O133">
        <v>0</v>
      </c>
      <c r="P133">
        <v>0</v>
      </c>
      <c r="Q133">
        <v>0</v>
      </c>
      <c r="R133">
        <v>0</v>
      </c>
      <c r="S133">
        <v>0</v>
      </c>
      <c r="T133">
        <v>0</v>
      </c>
      <c r="U133" s="256"/>
      <c r="V133" s="256"/>
    </row>
    <row r="134" spans="1:22" s="1" customFormat="1">
      <c r="A134" s="1" t="s">
        <v>35</v>
      </c>
      <c r="B134" s="1" t="s">
        <v>2</v>
      </c>
      <c r="C134" s="1">
        <v>8.0785453999999994</v>
      </c>
      <c r="D134" s="1">
        <v>8.0785453999999994</v>
      </c>
      <c r="E134" s="1">
        <v>4.6541978000000004</v>
      </c>
      <c r="F134" s="1">
        <v>4.9582369000000002</v>
      </c>
      <c r="G134" s="1">
        <v>4.2947747999999999</v>
      </c>
      <c r="H134" s="1">
        <v>0.89205710000000005</v>
      </c>
      <c r="I134" s="1">
        <v>0.58566565000000004</v>
      </c>
      <c r="J134" s="1">
        <v>0.82702019999999998</v>
      </c>
      <c r="K134" s="1">
        <v>1.5627926000000001</v>
      </c>
      <c r="L134" s="1">
        <v>0.59275</v>
      </c>
      <c r="M134" s="1">
        <v>2.1389008</v>
      </c>
      <c r="N134" s="1">
        <v>1.5383241000000001E-2</v>
      </c>
      <c r="O134" s="1">
        <v>1.8735202999999999E-3</v>
      </c>
      <c r="P134" s="1">
        <v>3.0865851999999999E-2</v>
      </c>
      <c r="Q134" s="1">
        <v>2.1544091E-3</v>
      </c>
      <c r="R134" s="1">
        <v>8.1143107000000003E-3</v>
      </c>
      <c r="S134" s="1">
        <v>0</v>
      </c>
      <c r="T134" s="1">
        <v>0.11487545</v>
      </c>
      <c r="U134" s="256"/>
      <c r="V134" s="256"/>
    </row>
    <row r="135" spans="1:22">
      <c r="U135" s="256"/>
      <c r="V135" s="256"/>
    </row>
    <row r="136" spans="1:22">
      <c r="B136" s="23"/>
      <c r="U136" s="256"/>
      <c r="V136" s="256"/>
    </row>
    <row r="137" spans="1:22" hidden="1" outlineLevel="1">
      <c r="A137" t="s">
        <v>570</v>
      </c>
      <c r="B137" t="s">
        <v>571</v>
      </c>
      <c r="U137" s="256"/>
      <c r="V137" s="256"/>
    </row>
    <row r="138" spans="1:22" collapsed="1">
      <c r="A138" t="s">
        <v>572</v>
      </c>
      <c r="B138" t="s">
        <v>573</v>
      </c>
      <c r="U138" s="256"/>
      <c r="V138" s="256"/>
    </row>
    <row r="139" spans="1:22" hidden="1" outlineLevel="1">
      <c r="A139" t="s">
        <v>574</v>
      </c>
      <c r="B139" t="s">
        <v>605</v>
      </c>
      <c r="U139" s="256"/>
      <c r="V139" s="256"/>
    </row>
    <row r="140" spans="1:22" hidden="1" outlineLevel="1">
      <c r="A140" t="s">
        <v>575</v>
      </c>
      <c r="B140" t="s">
        <v>606</v>
      </c>
      <c r="U140" s="256"/>
      <c r="V140" s="256"/>
    </row>
    <row r="141" spans="1:22" hidden="1" outlineLevel="1">
      <c r="A141" t="s">
        <v>576</v>
      </c>
      <c r="B141" t="s">
        <v>607</v>
      </c>
      <c r="U141" s="256"/>
      <c r="V141" s="256"/>
    </row>
    <row r="142" spans="1:22" hidden="1" outlineLevel="1">
      <c r="A142" t="s">
        <v>577</v>
      </c>
      <c r="B142" t="s">
        <v>609</v>
      </c>
      <c r="U142" s="256"/>
      <c r="V142" s="256"/>
    </row>
    <row r="143" spans="1:22" hidden="1" outlineLevel="1">
      <c r="A143" t="s">
        <v>578</v>
      </c>
      <c r="B143" t="s">
        <v>610</v>
      </c>
      <c r="U143" s="256"/>
      <c r="V143" s="256"/>
    </row>
    <row r="144" spans="1:22" hidden="1" outlineLevel="1">
      <c r="A144" t="s">
        <v>579</v>
      </c>
      <c r="B144" t="s">
        <v>667</v>
      </c>
      <c r="U144" s="256"/>
      <c r="V144" s="256"/>
    </row>
    <row r="145" spans="1:22" hidden="1" outlineLevel="1">
      <c r="A145" t="s">
        <v>580</v>
      </c>
      <c r="B145" t="s">
        <v>666</v>
      </c>
      <c r="U145" s="256"/>
      <c r="V145" s="256"/>
    </row>
    <row r="146" spans="1:22" hidden="1" outlineLevel="1">
      <c r="A146" t="s">
        <v>581</v>
      </c>
      <c r="B146" t="s">
        <v>665</v>
      </c>
      <c r="U146" s="256"/>
      <c r="V146" s="256"/>
    </row>
    <row r="147" spans="1:22" hidden="1" outlineLevel="1">
      <c r="A147" t="s">
        <v>582</v>
      </c>
      <c r="B147" t="s">
        <v>664</v>
      </c>
      <c r="U147" s="256"/>
      <c r="V147" s="256"/>
    </row>
    <row r="148" spans="1:22" hidden="1" outlineLevel="1">
      <c r="A148" t="s">
        <v>583</v>
      </c>
      <c r="B148" t="s">
        <v>663</v>
      </c>
      <c r="U148" s="256"/>
      <c r="V148" s="256"/>
    </row>
    <row r="149" spans="1:22" hidden="1" outlineLevel="1">
      <c r="A149" t="s">
        <v>584</v>
      </c>
      <c r="B149" t="s">
        <v>604</v>
      </c>
      <c r="U149" s="256"/>
      <c r="V149" s="256"/>
    </row>
    <row r="150" spans="1:22" hidden="1" outlineLevel="1">
      <c r="A150" t="s">
        <v>585</v>
      </c>
      <c r="B150" t="s">
        <v>662</v>
      </c>
      <c r="U150" s="256"/>
      <c r="V150" s="256"/>
    </row>
    <row r="151" spans="1:22" hidden="1" outlineLevel="1">
      <c r="A151" t="s">
        <v>586</v>
      </c>
      <c r="B151" t="s">
        <v>661</v>
      </c>
      <c r="U151" s="256"/>
      <c r="V151" s="256"/>
    </row>
    <row r="152" spans="1:22" hidden="1" outlineLevel="1">
      <c r="A152" t="s">
        <v>587</v>
      </c>
      <c r="B152" t="s">
        <v>660</v>
      </c>
      <c r="U152" s="256"/>
      <c r="V152" s="256"/>
    </row>
    <row r="153" spans="1:22" hidden="1" outlineLevel="1">
      <c r="A153" t="s">
        <v>588</v>
      </c>
      <c r="B153" t="s">
        <v>659</v>
      </c>
      <c r="U153" s="256"/>
      <c r="V153" s="256"/>
    </row>
    <row r="154" spans="1:22" hidden="1" outlineLevel="1">
      <c r="A154" t="s">
        <v>589</v>
      </c>
      <c r="B154" t="s">
        <v>658</v>
      </c>
      <c r="U154" s="256"/>
      <c r="V154" s="256"/>
    </row>
    <row r="155" spans="1:22" hidden="1" outlineLevel="1">
      <c r="A155" t="s">
        <v>590</v>
      </c>
      <c r="B155" t="s">
        <v>617</v>
      </c>
      <c r="U155" s="256"/>
      <c r="V155" s="256"/>
    </row>
    <row r="156" spans="1:22" hidden="1" outlineLevel="1">
      <c r="A156" t="s">
        <v>591</v>
      </c>
      <c r="B156" t="s">
        <v>618</v>
      </c>
      <c r="U156" s="256"/>
      <c r="V156" s="256"/>
    </row>
    <row r="157" spans="1:22" hidden="1" outlineLevel="1">
      <c r="A157" t="s">
        <v>523</v>
      </c>
      <c r="B157" t="s">
        <v>600</v>
      </c>
      <c r="U157" s="256"/>
      <c r="V157" s="256"/>
    </row>
    <row r="158" spans="1:22" hidden="1" outlineLevel="1">
      <c r="A158" t="s">
        <v>524</v>
      </c>
      <c r="B158" t="s">
        <v>525</v>
      </c>
      <c r="U158" s="256"/>
      <c r="V158" s="256"/>
    </row>
    <row r="159" spans="1:22" hidden="1" outlineLevel="1">
      <c r="A159" t="s">
        <v>595</v>
      </c>
      <c r="B159" t="s">
        <v>601</v>
      </c>
      <c r="U159" s="256"/>
      <c r="V159" s="256"/>
    </row>
    <row r="160" spans="1:22" hidden="1" outlineLevel="1">
      <c r="A160" t="s">
        <v>526</v>
      </c>
      <c r="B160" t="s">
        <v>657</v>
      </c>
      <c r="U160" s="256"/>
      <c r="V160" s="256"/>
    </row>
    <row r="161" spans="1:24" hidden="1" outlineLevel="1">
      <c r="A161" t="s">
        <v>527</v>
      </c>
      <c r="B161" t="s">
        <v>528</v>
      </c>
      <c r="U161" s="256"/>
      <c r="V161" s="256"/>
    </row>
    <row r="162" spans="1:24" hidden="1" outlineLevel="1">
      <c r="A162" t="s">
        <v>529</v>
      </c>
      <c r="B162" t="s">
        <v>528</v>
      </c>
      <c r="U162" s="256"/>
      <c r="V162" s="256"/>
    </row>
    <row r="163" spans="1:24" hidden="1" outlineLevel="1">
      <c r="A163" t="s">
        <v>596</v>
      </c>
      <c r="B163" t="s">
        <v>537</v>
      </c>
      <c r="U163" s="256"/>
      <c r="V163" s="256"/>
    </row>
    <row r="164" spans="1:24" hidden="1" outlineLevel="1">
      <c r="A164" t="s">
        <v>597</v>
      </c>
      <c r="B164" t="s">
        <v>598</v>
      </c>
      <c r="U164" s="256"/>
      <c r="V164" s="256"/>
    </row>
    <row r="165" spans="1:24" hidden="1" outlineLevel="1">
      <c r="U165" s="256"/>
      <c r="V165" s="256"/>
    </row>
    <row r="166" spans="1:24" collapsed="1">
      <c r="A166" t="s">
        <v>537</v>
      </c>
      <c r="B166" t="s">
        <v>533</v>
      </c>
      <c r="C166" t="s">
        <v>626</v>
      </c>
      <c r="D166" t="s">
        <v>627</v>
      </c>
      <c r="E166" t="s">
        <v>4</v>
      </c>
      <c r="F166" t="s">
        <v>294</v>
      </c>
      <c r="G166" t="s">
        <v>3</v>
      </c>
      <c r="H166" t="s">
        <v>656</v>
      </c>
      <c r="I166" t="s">
        <v>655</v>
      </c>
      <c r="J166" t="s">
        <v>654</v>
      </c>
      <c r="K166" t="s">
        <v>653</v>
      </c>
      <c r="L166" t="s">
        <v>652</v>
      </c>
      <c r="M166" t="s">
        <v>59</v>
      </c>
      <c r="N166" t="s">
        <v>651</v>
      </c>
      <c r="O166" t="s">
        <v>650</v>
      </c>
      <c r="P166" t="s">
        <v>649</v>
      </c>
      <c r="Q166" t="s">
        <v>648</v>
      </c>
      <c r="R166" t="s">
        <v>647</v>
      </c>
      <c r="S166" t="s">
        <v>368</v>
      </c>
      <c r="T166" t="s">
        <v>9</v>
      </c>
      <c r="U166" s="256"/>
      <c r="V166" s="256"/>
    </row>
    <row r="167" spans="1:24" s="1" customFormat="1">
      <c r="A167" s="1" t="s">
        <v>35</v>
      </c>
      <c r="B167" s="1" t="s">
        <v>2</v>
      </c>
      <c r="C167" s="1">
        <v>366.22645999999997</v>
      </c>
      <c r="D167" s="1">
        <v>423.53471999999999</v>
      </c>
      <c r="E167" s="12">
        <v>178.87816000000001</v>
      </c>
      <c r="F167" s="12">
        <v>406.47131000000002</v>
      </c>
      <c r="G167" s="12">
        <v>114.57585</v>
      </c>
      <c r="H167" s="1">
        <v>93.916944999999998</v>
      </c>
      <c r="I167" s="1">
        <v>88.696247999999997</v>
      </c>
      <c r="J167" s="1">
        <v>101.55041</v>
      </c>
      <c r="K167" s="1">
        <v>82.552417000000005</v>
      </c>
      <c r="L167" s="1">
        <v>102.8687</v>
      </c>
      <c r="M167" s="12">
        <v>53.071961000000002</v>
      </c>
      <c r="N167" s="12">
        <v>9.6797433999999996</v>
      </c>
      <c r="O167" s="12">
        <v>8.2920142999999999</v>
      </c>
      <c r="P167" s="12">
        <v>17.739509999999999</v>
      </c>
      <c r="Q167" s="12">
        <v>21.909269999999999</v>
      </c>
      <c r="R167" s="12">
        <v>6.1910967000000001</v>
      </c>
      <c r="S167" s="12">
        <v>45000</v>
      </c>
      <c r="T167" s="12">
        <v>5.9329253</v>
      </c>
      <c r="U167" s="257">
        <f>EPD!O20</f>
        <v>0</v>
      </c>
      <c r="V167" s="257">
        <f>EPD!O35</f>
        <v>0</v>
      </c>
      <c r="W167" s="12"/>
      <c r="X167" s="12"/>
    </row>
    <row r="168" spans="1:24">
      <c r="A168" t="s">
        <v>52</v>
      </c>
      <c r="B168" t="s">
        <v>2</v>
      </c>
      <c r="C168">
        <v>69.744067000000001</v>
      </c>
      <c r="D168">
        <v>276.40613999999999</v>
      </c>
      <c r="E168">
        <v>150.81268</v>
      </c>
      <c r="F168">
        <v>370.73343999999997</v>
      </c>
      <c r="G168">
        <v>93.791253999999995</v>
      </c>
      <c r="H168">
        <v>63.581130000000002</v>
      </c>
      <c r="I168">
        <v>68.159920999999997</v>
      </c>
      <c r="J168">
        <v>80.520869000000005</v>
      </c>
      <c r="K168">
        <v>49.449086999999999</v>
      </c>
      <c r="L168">
        <v>56.194645000000001</v>
      </c>
      <c r="M168">
        <v>42.781131999999999</v>
      </c>
      <c r="N168">
        <v>9.2790575000000004</v>
      </c>
      <c r="O168" s="4">
        <v>8.2274969000000002</v>
      </c>
      <c r="P168">
        <v>17.264595</v>
      </c>
      <c r="Q168">
        <v>21.877502</v>
      </c>
      <c r="R168">
        <v>5.8730767000000004</v>
      </c>
      <c r="S168">
        <v>45000</v>
      </c>
      <c r="T168">
        <v>1.7904796999999999</v>
      </c>
      <c r="U168" s="256"/>
      <c r="V168" s="256"/>
    </row>
    <row r="169" spans="1:24">
      <c r="A169" t="s">
        <v>53</v>
      </c>
      <c r="B169" t="s">
        <v>2</v>
      </c>
      <c r="C169">
        <v>74.855532999999994</v>
      </c>
      <c r="D169">
        <v>28.622465999999999</v>
      </c>
      <c r="E169">
        <v>10.194402999999999</v>
      </c>
      <c r="F169">
        <v>15.819494000000001</v>
      </c>
      <c r="G169">
        <v>4.8697635999999997</v>
      </c>
      <c r="H169">
        <v>6.2498759000000002</v>
      </c>
      <c r="I169">
        <v>5.3052726999999997</v>
      </c>
      <c r="J169">
        <v>5.1029517999999996</v>
      </c>
      <c r="K169">
        <v>8.3320453000000008</v>
      </c>
      <c r="L169">
        <v>6.2592336</v>
      </c>
      <c r="M169">
        <v>2.5676413999999999</v>
      </c>
      <c r="N169">
        <v>0.20146618999999999</v>
      </c>
      <c r="O169">
        <v>4.3602951000000001E-2</v>
      </c>
      <c r="P169">
        <v>0.21597980999999999</v>
      </c>
      <c r="Q169">
        <v>1.4591099E-2</v>
      </c>
      <c r="R169">
        <v>6.4238171999999996E-2</v>
      </c>
      <c r="S169">
        <v>0</v>
      </c>
      <c r="T169">
        <v>1.1526377999999999</v>
      </c>
      <c r="U169" s="256"/>
      <c r="V169" s="256"/>
    </row>
    <row r="170" spans="1:24">
      <c r="A170" t="s">
        <v>54</v>
      </c>
      <c r="B170" t="s">
        <v>2</v>
      </c>
      <c r="C170">
        <v>5.2011848999999999E-2</v>
      </c>
      <c r="D170">
        <v>0.26032471000000001</v>
      </c>
      <c r="E170">
        <v>4.3570657E-3</v>
      </c>
      <c r="F170">
        <v>5.1857585999999997E-3</v>
      </c>
      <c r="G170">
        <v>1.4522885999999999E-3</v>
      </c>
      <c r="H170">
        <v>1.4108589</v>
      </c>
      <c r="I170">
        <v>7.8258848000000002E-3</v>
      </c>
      <c r="J170">
        <v>4.3490984999999998E-3</v>
      </c>
      <c r="K170">
        <v>6.5131527999999998E-3</v>
      </c>
      <c r="L170">
        <v>5.6247474000000004</v>
      </c>
      <c r="M170">
        <v>3.9215571999999998E-4</v>
      </c>
      <c r="N170">
        <v>3.2618997000000002E-3</v>
      </c>
      <c r="O170" s="4">
        <v>5.0256015000000002E-5</v>
      </c>
      <c r="P170" s="4">
        <v>4.4434488000000001E-4</v>
      </c>
      <c r="Q170" s="4">
        <v>8.8696456999999996E-5</v>
      </c>
      <c r="R170" s="4">
        <v>1.8563839999999999E-4</v>
      </c>
      <c r="S170" s="4">
        <v>0</v>
      </c>
      <c r="T170" s="4">
        <v>1.067864E-3</v>
      </c>
      <c r="U170" s="256"/>
      <c r="V170" s="256"/>
    </row>
    <row r="171" spans="1:24">
      <c r="A171" t="s">
        <v>55</v>
      </c>
      <c r="B171" t="s">
        <v>2</v>
      </c>
      <c r="C171">
        <v>0.96466123999999998</v>
      </c>
      <c r="D171">
        <v>1.1369612</v>
      </c>
      <c r="E171">
        <v>7.2574340000000001E-2</v>
      </c>
      <c r="F171">
        <v>3.5304263000000002E-2</v>
      </c>
      <c r="G171">
        <v>9.1180975999999997E-3</v>
      </c>
      <c r="H171">
        <v>1.3408857000000001</v>
      </c>
      <c r="I171">
        <v>9.0100611999999997E-2</v>
      </c>
      <c r="J171">
        <v>7.3888304000000002E-2</v>
      </c>
      <c r="K171">
        <v>9.6309481000000002E-2</v>
      </c>
      <c r="L171">
        <v>5.1032444999999997</v>
      </c>
      <c r="M171">
        <v>2.0439786999999999E-3</v>
      </c>
      <c r="N171">
        <v>2.9563205999999999E-3</v>
      </c>
      <c r="O171">
        <v>1.1716252E-4</v>
      </c>
      <c r="P171">
        <v>1.3806471000000001E-3</v>
      </c>
      <c r="Q171" s="4">
        <v>5.8393634999999998E-5</v>
      </c>
      <c r="R171" s="4">
        <v>3.1469651999999998E-4</v>
      </c>
      <c r="S171">
        <v>0</v>
      </c>
      <c r="T171">
        <v>1.3384943999999999E-2</v>
      </c>
      <c r="U171" s="256"/>
      <c r="V171" s="256"/>
    </row>
    <row r="172" spans="1:24">
      <c r="A172" t="s">
        <v>56</v>
      </c>
      <c r="B172" t="s">
        <v>2</v>
      </c>
      <c r="C172">
        <v>30.491122000000001</v>
      </c>
      <c r="D172">
        <v>35.273963999999999</v>
      </c>
      <c r="E172">
        <v>15.241529</v>
      </c>
      <c r="F172">
        <v>16.156883000000001</v>
      </c>
      <c r="G172">
        <v>14.881443000000001</v>
      </c>
      <c r="H172">
        <v>5.8098972</v>
      </c>
      <c r="I172">
        <v>2.1895338</v>
      </c>
      <c r="J172">
        <v>2.2069798999999999</v>
      </c>
      <c r="K172">
        <v>5.5968811000000001</v>
      </c>
      <c r="L172">
        <v>13.246193999999999</v>
      </c>
      <c r="M172">
        <v>7.4235443999999999</v>
      </c>
      <c r="N172">
        <v>5.0677550000000002E-2</v>
      </c>
      <c r="O172">
        <v>6.1939024000000004E-3</v>
      </c>
      <c r="P172">
        <v>9.9264161000000004E-2</v>
      </c>
      <c r="Q172">
        <v>7.0227635000000002E-3</v>
      </c>
      <c r="R172">
        <v>2.6039874000000001E-2</v>
      </c>
      <c r="S172">
        <v>0</v>
      </c>
      <c r="T172">
        <v>0.42727757999999999</v>
      </c>
      <c r="U172" s="256"/>
      <c r="V172" s="256"/>
    </row>
    <row r="173" spans="1:24">
      <c r="A173" t="s">
        <v>57</v>
      </c>
      <c r="B173" t="s">
        <v>2</v>
      </c>
      <c r="C173">
        <v>1.4287894000000001</v>
      </c>
      <c r="D173">
        <v>3.2184233999999998</v>
      </c>
      <c r="E173">
        <v>0.41825528000000001</v>
      </c>
      <c r="F173">
        <v>0.37481240999999998</v>
      </c>
      <c r="G173">
        <v>0.14550413000000001</v>
      </c>
      <c r="H173">
        <v>3.4333117999999998</v>
      </c>
      <c r="I173">
        <v>0.86953356000000004</v>
      </c>
      <c r="J173">
        <v>0.78166362</v>
      </c>
      <c r="K173">
        <v>0.81418676999999995</v>
      </c>
      <c r="L173">
        <v>11.267863</v>
      </c>
      <c r="M173">
        <v>8.0484280000000005E-2</v>
      </c>
      <c r="N173">
        <v>9.7716369000000001E-3</v>
      </c>
      <c r="O173">
        <v>7.4864034999999997E-4</v>
      </c>
      <c r="P173">
        <v>9.3080152999999999E-3</v>
      </c>
      <c r="Q173">
        <v>3.3538069999999999E-3</v>
      </c>
      <c r="R173">
        <v>0.18923845</v>
      </c>
      <c r="S173">
        <v>0</v>
      </c>
      <c r="T173">
        <v>0.11113410999999999</v>
      </c>
      <c r="U173" s="256"/>
      <c r="V173" s="256"/>
    </row>
    <row r="174" spans="1:24">
      <c r="A174" t="s">
        <v>58</v>
      </c>
      <c r="B174" t="s">
        <v>2</v>
      </c>
      <c r="C174">
        <v>188.69028</v>
      </c>
      <c r="D174">
        <v>78.616433999999998</v>
      </c>
      <c r="E174">
        <v>2.1343570000000001</v>
      </c>
      <c r="F174">
        <v>3.3461940999999999</v>
      </c>
      <c r="G174">
        <v>0.87731608999999999</v>
      </c>
      <c r="H174">
        <v>12.090985</v>
      </c>
      <c r="I174">
        <v>12.074061</v>
      </c>
      <c r="J174">
        <v>12.859712</v>
      </c>
      <c r="K174">
        <v>18.257394000000001</v>
      </c>
      <c r="L174">
        <v>5.1727742000000001</v>
      </c>
      <c r="M174">
        <v>0.21672290999999999</v>
      </c>
      <c r="N174">
        <v>0.13255232</v>
      </c>
      <c r="O174">
        <v>1.3804528E-2</v>
      </c>
      <c r="P174">
        <v>0.14853767000000001</v>
      </c>
      <c r="Q174">
        <v>6.6534111999999998E-3</v>
      </c>
      <c r="R174">
        <v>3.8003224000000002E-2</v>
      </c>
      <c r="S174">
        <v>0</v>
      </c>
      <c r="T174">
        <v>2.4369432</v>
      </c>
      <c r="U174" s="256"/>
      <c r="V174" s="256"/>
    </row>
    <row r="175" spans="1:24">
      <c r="U175" s="256"/>
      <c r="V175" s="256"/>
    </row>
    <row r="176" spans="1:24" s="1" customFormat="1">
      <c r="A176" s="1" t="s">
        <v>35</v>
      </c>
      <c r="B176" s="1" t="s">
        <v>2</v>
      </c>
      <c r="C176" s="1">
        <v>353.15285999999998</v>
      </c>
      <c r="D176" s="1">
        <v>353.15285999999998</v>
      </c>
      <c r="E176" s="12">
        <v>182.02838</v>
      </c>
      <c r="F176" s="12">
        <v>410.60503999999997</v>
      </c>
      <c r="G176" s="12">
        <v>115.03925</v>
      </c>
      <c r="H176" s="1">
        <v>90.797982000000005</v>
      </c>
      <c r="I176" s="1">
        <v>88.759592999999995</v>
      </c>
      <c r="J176" s="1">
        <v>88.419807000000006</v>
      </c>
      <c r="K176" s="1">
        <v>82.742728</v>
      </c>
      <c r="L176" s="1">
        <v>103.2698</v>
      </c>
      <c r="M176" s="12">
        <v>53.006563999999997</v>
      </c>
      <c r="N176" s="12">
        <v>9.7774412999999996</v>
      </c>
      <c r="O176" s="12">
        <v>8.2971904999999992</v>
      </c>
      <c r="P176" s="12">
        <v>17.814928999999999</v>
      </c>
      <c r="Q176" s="12">
        <v>21.914722999999999</v>
      </c>
      <c r="R176" s="12">
        <v>6.2241663000000003</v>
      </c>
      <c r="S176" s="12">
        <v>45000</v>
      </c>
      <c r="T176" s="12">
        <v>5.7955163000000001</v>
      </c>
      <c r="U176" s="257"/>
      <c r="V176" s="257"/>
      <c r="W176" s="12"/>
      <c r="X176" s="12"/>
    </row>
    <row r="177" spans="3:22">
      <c r="C177" t="b">
        <f t="shared" ref="C177:T177" si="7">C176=C167</f>
        <v>0</v>
      </c>
      <c r="D177" t="b">
        <f t="shared" si="7"/>
        <v>0</v>
      </c>
      <c r="E177" t="b">
        <f t="shared" si="7"/>
        <v>0</v>
      </c>
      <c r="F177" t="b">
        <f t="shared" si="7"/>
        <v>0</v>
      </c>
      <c r="G177" t="b">
        <f t="shared" si="7"/>
        <v>0</v>
      </c>
      <c r="H177" t="b">
        <f t="shared" si="7"/>
        <v>0</v>
      </c>
      <c r="I177" t="b">
        <f t="shared" si="7"/>
        <v>0</v>
      </c>
      <c r="J177" t="b">
        <f t="shared" si="7"/>
        <v>0</v>
      </c>
      <c r="K177" t="b">
        <f t="shared" si="7"/>
        <v>0</v>
      </c>
      <c r="L177" t="b">
        <f t="shared" si="7"/>
        <v>0</v>
      </c>
      <c r="M177" t="b">
        <f t="shared" si="7"/>
        <v>0</v>
      </c>
      <c r="N177" t="b">
        <f t="shared" si="7"/>
        <v>0</v>
      </c>
      <c r="O177" t="b">
        <f t="shared" si="7"/>
        <v>0</v>
      </c>
      <c r="P177" t="b">
        <f t="shared" si="7"/>
        <v>0</v>
      </c>
      <c r="Q177" t="b">
        <f t="shared" si="7"/>
        <v>0</v>
      </c>
      <c r="R177" t="b">
        <f t="shared" si="7"/>
        <v>0</v>
      </c>
      <c r="S177" t="b">
        <f t="shared" si="7"/>
        <v>1</v>
      </c>
      <c r="T177" t="b">
        <f t="shared" si="7"/>
        <v>0</v>
      </c>
      <c r="U177" s="256"/>
      <c r="V177" s="256"/>
    </row>
  </sheetData>
  <pageMargins left="0.78740157499999996" right="0.78740157499999996" top="0.984251969" bottom="0.984251969" header="0.4921259845" footer="0.4921259845"/>
  <pageSetup paperSize="9" scale="27" orientation="landscape" r:id="rId1"/>
  <headerFooter alignWithMargins="0">
    <oddHeader>&amp;F</oddHeader>
    <oddFooter>&amp;L&amp;B Vertraulich&amp;B&amp;C&amp;D&amp;RSeite &amp;P</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3399"/>
  </sheetPr>
  <dimension ref="A1:M19"/>
  <sheetViews>
    <sheetView workbookViewId="0"/>
  </sheetViews>
  <sheetFormatPr baseColWidth="10" defaultRowHeight="12" outlineLevelCol="1"/>
  <cols>
    <col min="1" max="1" width="18.7109375" style="296" customWidth="1"/>
    <col min="2" max="3" width="11.42578125" style="296" hidden="1" customWidth="1" outlineLevel="1"/>
    <col min="4" max="4" width="12.140625" style="296" hidden="1" customWidth="1" outlineLevel="1"/>
    <col min="5" max="5" width="12.140625" style="296" customWidth="1" collapsed="1"/>
    <col min="6" max="7" width="12.140625" style="296" customWidth="1"/>
    <col min="8" max="8" width="11.42578125" style="296"/>
    <col min="9" max="9" width="10.5703125" style="296" customWidth="1"/>
    <col min="10" max="10" width="10.7109375" style="296" customWidth="1"/>
    <col min="11" max="11" width="12.7109375" style="296" customWidth="1"/>
    <col min="12" max="12" width="16.7109375" style="296" bestFit="1" customWidth="1"/>
    <col min="13" max="256" width="11.42578125" style="296"/>
    <col min="257" max="257" width="18.7109375" style="296" customWidth="1"/>
    <col min="258" max="260" width="0" style="296" hidden="1" customWidth="1"/>
    <col min="261" max="263" width="12.140625" style="296" customWidth="1"/>
    <col min="264" max="264" width="11.42578125" style="296"/>
    <col min="265" max="265" width="10.5703125" style="296" customWidth="1"/>
    <col min="266" max="266" width="10.7109375" style="296" customWidth="1"/>
    <col min="267" max="267" width="12.7109375" style="296" customWidth="1"/>
    <col min="268" max="268" width="16.7109375" style="296" bestFit="1" customWidth="1"/>
    <col min="269" max="512" width="11.42578125" style="296"/>
    <col min="513" max="513" width="18.7109375" style="296" customWidth="1"/>
    <col min="514" max="516" width="0" style="296" hidden="1" customWidth="1"/>
    <col min="517" max="519" width="12.140625" style="296" customWidth="1"/>
    <col min="520" max="520" width="11.42578125" style="296"/>
    <col min="521" max="521" width="10.5703125" style="296" customWidth="1"/>
    <col min="522" max="522" width="10.7109375" style="296" customWidth="1"/>
    <col min="523" max="523" width="12.7109375" style="296" customWidth="1"/>
    <col min="524" max="524" width="16.7109375" style="296" bestFit="1" customWidth="1"/>
    <col min="525" max="768" width="11.42578125" style="296"/>
    <col min="769" max="769" width="18.7109375" style="296" customWidth="1"/>
    <col min="770" max="772" width="0" style="296" hidden="1" customWidth="1"/>
    <col min="773" max="775" width="12.140625" style="296" customWidth="1"/>
    <col min="776" max="776" width="11.42578125" style="296"/>
    <col min="777" max="777" width="10.5703125" style="296" customWidth="1"/>
    <col min="778" max="778" width="10.7109375" style="296" customWidth="1"/>
    <col min="779" max="779" width="12.7109375" style="296" customWidth="1"/>
    <col min="780" max="780" width="16.7109375" style="296" bestFit="1" customWidth="1"/>
    <col min="781" max="1024" width="11.42578125" style="296"/>
    <col min="1025" max="1025" width="18.7109375" style="296" customWidth="1"/>
    <col min="1026" max="1028" width="0" style="296" hidden="1" customWidth="1"/>
    <col min="1029" max="1031" width="12.140625" style="296" customWidth="1"/>
    <col min="1032" max="1032" width="11.42578125" style="296"/>
    <col min="1033" max="1033" width="10.5703125" style="296" customWidth="1"/>
    <col min="1034" max="1034" width="10.7109375" style="296" customWidth="1"/>
    <col min="1035" max="1035" width="12.7109375" style="296" customWidth="1"/>
    <col min="1036" max="1036" width="16.7109375" style="296" bestFit="1" customWidth="1"/>
    <col min="1037" max="1280" width="11.42578125" style="296"/>
    <col min="1281" max="1281" width="18.7109375" style="296" customWidth="1"/>
    <col min="1282" max="1284" width="0" style="296" hidden="1" customWidth="1"/>
    <col min="1285" max="1287" width="12.140625" style="296" customWidth="1"/>
    <col min="1288" max="1288" width="11.42578125" style="296"/>
    <col min="1289" max="1289" width="10.5703125" style="296" customWidth="1"/>
    <col min="1290" max="1290" width="10.7109375" style="296" customWidth="1"/>
    <col min="1291" max="1291" width="12.7109375" style="296" customWidth="1"/>
    <col min="1292" max="1292" width="16.7109375" style="296" bestFit="1" customWidth="1"/>
    <col min="1293" max="1536" width="11.42578125" style="296"/>
    <col min="1537" max="1537" width="18.7109375" style="296" customWidth="1"/>
    <col min="1538" max="1540" width="0" style="296" hidden="1" customWidth="1"/>
    <col min="1541" max="1543" width="12.140625" style="296" customWidth="1"/>
    <col min="1544" max="1544" width="11.42578125" style="296"/>
    <col min="1545" max="1545" width="10.5703125" style="296" customWidth="1"/>
    <col min="1546" max="1546" width="10.7109375" style="296" customWidth="1"/>
    <col min="1547" max="1547" width="12.7109375" style="296" customWidth="1"/>
    <col min="1548" max="1548" width="16.7109375" style="296" bestFit="1" customWidth="1"/>
    <col min="1549" max="1792" width="11.42578125" style="296"/>
    <col min="1793" max="1793" width="18.7109375" style="296" customWidth="1"/>
    <col min="1794" max="1796" width="0" style="296" hidden="1" customWidth="1"/>
    <col min="1797" max="1799" width="12.140625" style="296" customWidth="1"/>
    <col min="1800" max="1800" width="11.42578125" style="296"/>
    <col min="1801" max="1801" width="10.5703125" style="296" customWidth="1"/>
    <col min="1802" max="1802" width="10.7109375" style="296" customWidth="1"/>
    <col min="1803" max="1803" width="12.7109375" style="296" customWidth="1"/>
    <col min="1804" max="1804" width="16.7109375" style="296" bestFit="1" customWidth="1"/>
    <col min="1805" max="2048" width="11.42578125" style="296"/>
    <col min="2049" max="2049" width="18.7109375" style="296" customWidth="1"/>
    <col min="2050" max="2052" width="0" style="296" hidden="1" customWidth="1"/>
    <col min="2053" max="2055" width="12.140625" style="296" customWidth="1"/>
    <col min="2056" max="2056" width="11.42578125" style="296"/>
    <col min="2057" max="2057" width="10.5703125" style="296" customWidth="1"/>
    <col min="2058" max="2058" width="10.7109375" style="296" customWidth="1"/>
    <col min="2059" max="2059" width="12.7109375" style="296" customWidth="1"/>
    <col min="2060" max="2060" width="16.7109375" style="296" bestFit="1" customWidth="1"/>
    <col min="2061" max="2304" width="11.42578125" style="296"/>
    <col min="2305" max="2305" width="18.7109375" style="296" customWidth="1"/>
    <col min="2306" max="2308" width="0" style="296" hidden="1" customWidth="1"/>
    <col min="2309" max="2311" width="12.140625" style="296" customWidth="1"/>
    <col min="2312" max="2312" width="11.42578125" style="296"/>
    <col min="2313" max="2313" width="10.5703125" style="296" customWidth="1"/>
    <col min="2314" max="2314" width="10.7109375" style="296" customWidth="1"/>
    <col min="2315" max="2315" width="12.7109375" style="296" customWidth="1"/>
    <col min="2316" max="2316" width="16.7109375" style="296" bestFit="1" customWidth="1"/>
    <col min="2317" max="2560" width="11.42578125" style="296"/>
    <col min="2561" max="2561" width="18.7109375" style="296" customWidth="1"/>
    <col min="2562" max="2564" width="0" style="296" hidden="1" customWidth="1"/>
    <col min="2565" max="2567" width="12.140625" style="296" customWidth="1"/>
    <col min="2568" max="2568" width="11.42578125" style="296"/>
    <col min="2569" max="2569" width="10.5703125" style="296" customWidth="1"/>
    <col min="2570" max="2570" width="10.7109375" style="296" customWidth="1"/>
    <col min="2571" max="2571" width="12.7109375" style="296" customWidth="1"/>
    <col min="2572" max="2572" width="16.7109375" style="296" bestFit="1" customWidth="1"/>
    <col min="2573" max="2816" width="11.42578125" style="296"/>
    <col min="2817" max="2817" width="18.7109375" style="296" customWidth="1"/>
    <col min="2818" max="2820" width="0" style="296" hidden="1" customWidth="1"/>
    <col min="2821" max="2823" width="12.140625" style="296" customWidth="1"/>
    <col min="2824" max="2824" width="11.42578125" style="296"/>
    <col min="2825" max="2825" width="10.5703125" style="296" customWidth="1"/>
    <col min="2826" max="2826" width="10.7109375" style="296" customWidth="1"/>
    <col min="2827" max="2827" width="12.7109375" style="296" customWidth="1"/>
    <col min="2828" max="2828" width="16.7109375" style="296" bestFit="1" customWidth="1"/>
    <col min="2829" max="3072" width="11.42578125" style="296"/>
    <col min="3073" max="3073" width="18.7109375" style="296" customWidth="1"/>
    <col min="3074" max="3076" width="0" style="296" hidden="1" customWidth="1"/>
    <col min="3077" max="3079" width="12.140625" style="296" customWidth="1"/>
    <col min="3080" max="3080" width="11.42578125" style="296"/>
    <col min="3081" max="3081" width="10.5703125" style="296" customWidth="1"/>
    <col min="3082" max="3082" width="10.7109375" style="296" customWidth="1"/>
    <col min="3083" max="3083" width="12.7109375" style="296" customWidth="1"/>
    <col min="3084" max="3084" width="16.7109375" style="296" bestFit="1" customWidth="1"/>
    <col min="3085" max="3328" width="11.42578125" style="296"/>
    <col min="3329" max="3329" width="18.7109375" style="296" customWidth="1"/>
    <col min="3330" max="3332" width="0" style="296" hidden="1" customWidth="1"/>
    <col min="3333" max="3335" width="12.140625" style="296" customWidth="1"/>
    <col min="3336" max="3336" width="11.42578125" style="296"/>
    <col min="3337" max="3337" width="10.5703125" style="296" customWidth="1"/>
    <col min="3338" max="3338" width="10.7109375" style="296" customWidth="1"/>
    <col min="3339" max="3339" width="12.7109375" style="296" customWidth="1"/>
    <col min="3340" max="3340" width="16.7109375" style="296" bestFit="1" customWidth="1"/>
    <col min="3341" max="3584" width="11.42578125" style="296"/>
    <col min="3585" max="3585" width="18.7109375" style="296" customWidth="1"/>
    <col min="3586" max="3588" width="0" style="296" hidden="1" customWidth="1"/>
    <col min="3589" max="3591" width="12.140625" style="296" customWidth="1"/>
    <col min="3592" max="3592" width="11.42578125" style="296"/>
    <col min="3593" max="3593" width="10.5703125" style="296" customWidth="1"/>
    <col min="3594" max="3594" width="10.7109375" style="296" customWidth="1"/>
    <col min="3595" max="3595" width="12.7109375" style="296" customWidth="1"/>
    <col min="3596" max="3596" width="16.7109375" style="296" bestFit="1" customWidth="1"/>
    <col min="3597" max="3840" width="11.42578125" style="296"/>
    <col min="3841" max="3841" width="18.7109375" style="296" customWidth="1"/>
    <col min="3842" max="3844" width="0" style="296" hidden="1" customWidth="1"/>
    <col min="3845" max="3847" width="12.140625" style="296" customWidth="1"/>
    <col min="3848" max="3848" width="11.42578125" style="296"/>
    <col min="3849" max="3849" width="10.5703125" style="296" customWidth="1"/>
    <col min="3850" max="3850" width="10.7109375" style="296" customWidth="1"/>
    <col min="3851" max="3851" width="12.7109375" style="296" customWidth="1"/>
    <col min="3852" max="3852" width="16.7109375" style="296" bestFit="1" customWidth="1"/>
    <col min="3853" max="4096" width="11.42578125" style="296"/>
    <col min="4097" max="4097" width="18.7109375" style="296" customWidth="1"/>
    <col min="4098" max="4100" width="0" style="296" hidden="1" customWidth="1"/>
    <col min="4101" max="4103" width="12.140625" style="296" customWidth="1"/>
    <col min="4104" max="4104" width="11.42578125" style="296"/>
    <col min="4105" max="4105" width="10.5703125" style="296" customWidth="1"/>
    <col min="4106" max="4106" width="10.7109375" style="296" customWidth="1"/>
    <col min="4107" max="4107" width="12.7109375" style="296" customWidth="1"/>
    <col min="4108" max="4108" width="16.7109375" style="296" bestFit="1" customWidth="1"/>
    <col min="4109" max="4352" width="11.42578125" style="296"/>
    <col min="4353" max="4353" width="18.7109375" style="296" customWidth="1"/>
    <col min="4354" max="4356" width="0" style="296" hidden="1" customWidth="1"/>
    <col min="4357" max="4359" width="12.140625" style="296" customWidth="1"/>
    <col min="4360" max="4360" width="11.42578125" style="296"/>
    <col min="4361" max="4361" width="10.5703125" style="296" customWidth="1"/>
    <col min="4362" max="4362" width="10.7109375" style="296" customWidth="1"/>
    <col min="4363" max="4363" width="12.7109375" style="296" customWidth="1"/>
    <col min="4364" max="4364" width="16.7109375" style="296" bestFit="1" customWidth="1"/>
    <col min="4365" max="4608" width="11.42578125" style="296"/>
    <col min="4609" max="4609" width="18.7109375" style="296" customWidth="1"/>
    <col min="4610" max="4612" width="0" style="296" hidden="1" customWidth="1"/>
    <col min="4613" max="4615" width="12.140625" style="296" customWidth="1"/>
    <col min="4616" max="4616" width="11.42578125" style="296"/>
    <col min="4617" max="4617" width="10.5703125" style="296" customWidth="1"/>
    <col min="4618" max="4618" width="10.7109375" style="296" customWidth="1"/>
    <col min="4619" max="4619" width="12.7109375" style="296" customWidth="1"/>
    <col min="4620" max="4620" width="16.7109375" style="296" bestFit="1" customWidth="1"/>
    <col min="4621" max="4864" width="11.42578125" style="296"/>
    <col min="4865" max="4865" width="18.7109375" style="296" customWidth="1"/>
    <col min="4866" max="4868" width="0" style="296" hidden="1" customWidth="1"/>
    <col min="4869" max="4871" width="12.140625" style="296" customWidth="1"/>
    <col min="4872" max="4872" width="11.42578125" style="296"/>
    <col min="4873" max="4873" width="10.5703125" style="296" customWidth="1"/>
    <col min="4874" max="4874" width="10.7109375" style="296" customWidth="1"/>
    <col min="4875" max="4875" width="12.7109375" style="296" customWidth="1"/>
    <col min="4876" max="4876" width="16.7109375" style="296" bestFit="1" customWidth="1"/>
    <col min="4877" max="5120" width="11.42578125" style="296"/>
    <col min="5121" max="5121" width="18.7109375" style="296" customWidth="1"/>
    <col min="5122" max="5124" width="0" style="296" hidden="1" customWidth="1"/>
    <col min="5125" max="5127" width="12.140625" style="296" customWidth="1"/>
    <col min="5128" max="5128" width="11.42578125" style="296"/>
    <col min="5129" max="5129" width="10.5703125" style="296" customWidth="1"/>
    <col min="5130" max="5130" width="10.7109375" style="296" customWidth="1"/>
    <col min="5131" max="5131" width="12.7109375" style="296" customWidth="1"/>
    <col min="5132" max="5132" width="16.7109375" style="296" bestFit="1" customWidth="1"/>
    <col min="5133" max="5376" width="11.42578125" style="296"/>
    <col min="5377" max="5377" width="18.7109375" style="296" customWidth="1"/>
    <col min="5378" max="5380" width="0" style="296" hidden="1" customWidth="1"/>
    <col min="5381" max="5383" width="12.140625" style="296" customWidth="1"/>
    <col min="5384" max="5384" width="11.42578125" style="296"/>
    <col min="5385" max="5385" width="10.5703125" style="296" customWidth="1"/>
    <col min="5386" max="5386" width="10.7109375" style="296" customWidth="1"/>
    <col min="5387" max="5387" width="12.7109375" style="296" customWidth="1"/>
    <col min="5388" max="5388" width="16.7109375" style="296" bestFit="1" customWidth="1"/>
    <col min="5389" max="5632" width="11.42578125" style="296"/>
    <col min="5633" max="5633" width="18.7109375" style="296" customWidth="1"/>
    <col min="5634" max="5636" width="0" style="296" hidden="1" customWidth="1"/>
    <col min="5637" max="5639" width="12.140625" style="296" customWidth="1"/>
    <col min="5640" max="5640" width="11.42578125" style="296"/>
    <col min="5641" max="5641" width="10.5703125" style="296" customWidth="1"/>
    <col min="5642" max="5642" width="10.7109375" style="296" customWidth="1"/>
    <col min="5643" max="5643" width="12.7109375" style="296" customWidth="1"/>
    <col min="5644" max="5644" width="16.7109375" style="296" bestFit="1" customWidth="1"/>
    <col min="5645" max="5888" width="11.42578125" style="296"/>
    <col min="5889" max="5889" width="18.7109375" style="296" customWidth="1"/>
    <col min="5890" max="5892" width="0" style="296" hidden="1" customWidth="1"/>
    <col min="5893" max="5895" width="12.140625" style="296" customWidth="1"/>
    <col min="5896" max="5896" width="11.42578125" style="296"/>
    <col min="5897" max="5897" width="10.5703125" style="296" customWidth="1"/>
    <col min="5898" max="5898" width="10.7109375" style="296" customWidth="1"/>
    <col min="5899" max="5899" width="12.7109375" style="296" customWidth="1"/>
    <col min="5900" max="5900" width="16.7109375" style="296" bestFit="1" customWidth="1"/>
    <col min="5901" max="6144" width="11.42578125" style="296"/>
    <col min="6145" max="6145" width="18.7109375" style="296" customWidth="1"/>
    <col min="6146" max="6148" width="0" style="296" hidden="1" customWidth="1"/>
    <col min="6149" max="6151" width="12.140625" style="296" customWidth="1"/>
    <col min="6152" max="6152" width="11.42578125" style="296"/>
    <col min="6153" max="6153" width="10.5703125" style="296" customWidth="1"/>
    <col min="6154" max="6154" width="10.7109375" style="296" customWidth="1"/>
    <col min="6155" max="6155" width="12.7109375" style="296" customWidth="1"/>
    <col min="6156" max="6156" width="16.7109375" style="296" bestFit="1" customWidth="1"/>
    <col min="6157" max="6400" width="11.42578125" style="296"/>
    <col min="6401" max="6401" width="18.7109375" style="296" customWidth="1"/>
    <col min="6402" max="6404" width="0" style="296" hidden="1" customWidth="1"/>
    <col min="6405" max="6407" width="12.140625" style="296" customWidth="1"/>
    <col min="6408" max="6408" width="11.42578125" style="296"/>
    <col min="6409" max="6409" width="10.5703125" style="296" customWidth="1"/>
    <col min="6410" max="6410" width="10.7109375" style="296" customWidth="1"/>
    <col min="6411" max="6411" width="12.7109375" style="296" customWidth="1"/>
    <col min="6412" max="6412" width="16.7109375" style="296" bestFit="1" customWidth="1"/>
    <col min="6413" max="6656" width="11.42578125" style="296"/>
    <col min="6657" max="6657" width="18.7109375" style="296" customWidth="1"/>
    <col min="6658" max="6660" width="0" style="296" hidden="1" customWidth="1"/>
    <col min="6661" max="6663" width="12.140625" style="296" customWidth="1"/>
    <col min="6664" max="6664" width="11.42578125" style="296"/>
    <col min="6665" max="6665" width="10.5703125" style="296" customWidth="1"/>
    <col min="6666" max="6666" width="10.7109375" style="296" customWidth="1"/>
    <col min="6667" max="6667" width="12.7109375" style="296" customWidth="1"/>
    <col min="6668" max="6668" width="16.7109375" style="296" bestFit="1" customWidth="1"/>
    <col min="6669" max="6912" width="11.42578125" style="296"/>
    <col min="6913" max="6913" width="18.7109375" style="296" customWidth="1"/>
    <col min="6914" max="6916" width="0" style="296" hidden="1" customWidth="1"/>
    <col min="6917" max="6919" width="12.140625" style="296" customWidth="1"/>
    <col min="6920" max="6920" width="11.42578125" style="296"/>
    <col min="6921" max="6921" width="10.5703125" style="296" customWidth="1"/>
    <col min="6922" max="6922" width="10.7109375" style="296" customWidth="1"/>
    <col min="6923" max="6923" width="12.7109375" style="296" customWidth="1"/>
    <col min="6924" max="6924" width="16.7109375" style="296" bestFit="1" customWidth="1"/>
    <col min="6925" max="7168" width="11.42578125" style="296"/>
    <col min="7169" max="7169" width="18.7109375" style="296" customWidth="1"/>
    <col min="7170" max="7172" width="0" style="296" hidden="1" customWidth="1"/>
    <col min="7173" max="7175" width="12.140625" style="296" customWidth="1"/>
    <col min="7176" max="7176" width="11.42578125" style="296"/>
    <col min="7177" max="7177" width="10.5703125" style="296" customWidth="1"/>
    <col min="7178" max="7178" width="10.7109375" style="296" customWidth="1"/>
    <col min="7179" max="7179" width="12.7109375" style="296" customWidth="1"/>
    <col min="7180" max="7180" width="16.7109375" style="296" bestFit="1" customWidth="1"/>
    <col min="7181" max="7424" width="11.42578125" style="296"/>
    <col min="7425" max="7425" width="18.7109375" style="296" customWidth="1"/>
    <col min="7426" max="7428" width="0" style="296" hidden="1" customWidth="1"/>
    <col min="7429" max="7431" width="12.140625" style="296" customWidth="1"/>
    <col min="7432" max="7432" width="11.42578125" style="296"/>
    <col min="7433" max="7433" width="10.5703125" style="296" customWidth="1"/>
    <col min="7434" max="7434" width="10.7109375" style="296" customWidth="1"/>
    <col min="7435" max="7435" width="12.7109375" style="296" customWidth="1"/>
    <col min="7436" max="7436" width="16.7109375" style="296" bestFit="1" customWidth="1"/>
    <col min="7437" max="7680" width="11.42578125" style="296"/>
    <col min="7681" max="7681" width="18.7109375" style="296" customWidth="1"/>
    <col min="7682" max="7684" width="0" style="296" hidden="1" customWidth="1"/>
    <col min="7685" max="7687" width="12.140625" style="296" customWidth="1"/>
    <col min="7688" max="7688" width="11.42578125" style="296"/>
    <col min="7689" max="7689" width="10.5703125" style="296" customWidth="1"/>
    <col min="7690" max="7690" width="10.7109375" style="296" customWidth="1"/>
    <col min="7691" max="7691" width="12.7109375" style="296" customWidth="1"/>
    <col min="7692" max="7692" width="16.7109375" style="296" bestFit="1" customWidth="1"/>
    <col min="7693" max="7936" width="11.42578125" style="296"/>
    <col min="7937" max="7937" width="18.7109375" style="296" customWidth="1"/>
    <col min="7938" max="7940" width="0" style="296" hidden="1" customWidth="1"/>
    <col min="7941" max="7943" width="12.140625" style="296" customWidth="1"/>
    <col min="7944" max="7944" width="11.42578125" style="296"/>
    <col min="7945" max="7945" width="10.5703125" style="296" customWidth="1"/>
    <col min="7946" max="7946" width="10.7109375" style="296" customWidth="1"/>
    <col min="7947" max="7947" width="12.7109375" style="296" customWidth="1"/>
    <col min="7948" max="7948" width="16.7109375" style="296" bestFit="1" customWidth="1"/>
    <col min="7949" max="8192" width="11.42578125" style="296"/>
    <col min="8193" max="8193" width="18.7109375" style="296" customWidth="1"/>
    <col min="8194" max="8196" width="0" style="296" hidden="1" customWidth="1"/>
    <col min="8197" max="8199" width="12.140625" style="296" customWidth="1"/>
    <col min="8200" max="8200" width="11.42578125" style="296"/>
    <col min="8201" max="8201" width="10.5703125" style="296" customWidth="1"/>
    <col min="8202" max="8202" width="10.7109375" style="296" customWidth="1"/>
    <col min="8203" max="8203" width="12.7109375" style="296" customWidth="1"/>
    <col min="8204" max="8204" width="16.7109375" style="296" bestFit="1" customWidth="1"/>
    <col min="8205" max="8448" width="11.42578125" style="296"/>
    <col min="8449" max="8449" width="18.7109375" style="296" customWidth="1"/>
    <col min="8450" max="8452" width="0" style="296" hidden="1" customWidth="1"/>
    <col min="8453" max="8455" width="12.140625" style="296" customWidth="1"/>
    <col min="8456" max="8456" width="11.42578125" style="296"/>
    <col min="8457" max="8457" width="10.5703125" style="296" customWidth="1"/>
    <col min="8458" max="8458" width="10.7109375" style="296" customWidth="1"/>
    <col min="8459" max="8459" width="12.7109375" style="296" customWidth="1"/>
    <col min="8460" max="8460" width="16.7109375" style="296" bestFit="1" customWidth="1"/>
    <col min="8461" max="8704" width="11.42578125" style="296"/>
    <col min="8705" max="8705" width="18.7109375" style="296" customWidth="1"/>
    <col min="8706" max="8708" width="0" style="296" hidden="1" customWidth="1"/>
    <col min="8709" max="8711" width="12.140625" style="296" customWidth="1"/>
    <col min="8712" max="8712" width="11.42578125" style="296"/>
    <col min="8713" max="8713" width="10.5703125" style="296" customWidth="1"/>
    <col min="8714" max="8714" width="10.7109375" style="296" customWidth="1"/>
    <col min="8715" max="8715" width="12.7109375" style="296" customWidth="1"/>
    <col min="8716" max="8716" width="16.7109375" style="296" bestFit="1" customWidth="1"/>
    <col min="8717" max="8960" width="11.42578125" style="296"/>
    <col min="8961" max="8961" width="18.7109375" style="296" customWidth="1"/>
    <col min="8962" max="8964" width="0" style="296" hidden="1" customWidth="1"/>
    <col min="8965" max="8967" width="12.140625" style="296" customWidth="1"/>
    <col min="8968" max="8968" width="11.42578125" style="296"/>
    <col min="8969" max="8969" width="10.5703125" style="296" customWidth="1"/>
    <col min="8970" max="8970" width="10.7109375" style="296" customWidth="1"/>
    <col min="8971" max="8971" width="12.7109375" style="296" customWidth="1"/>
    <col min="8972" max="8972" width="16.7109375" style="296" bestFit="1" customWidth="1"/>
    <col min="8973" max="9216" width="11.42578125" style="296"/>
    <col min="9217" max="9217" width="18.7109375" style="296" customWidth="1"/>
    <col min="9218" max="9220" width="0" style="296" hidden="1" customWidth="1"/>
    <col min="9221" max="9223" width="12.140625" style="296" customWidth="1"/>
    <col min="9224" max="9224" width="11.42578125" style="296"/>
    <col min="9225" max="9225" width="10.5703125" style="296" customWidth="1"/>
    <col min="9226" max="9226" width="10.7109375" style="296" customWidth="1"/>
    <col min="9227" max="9227" width="12.7109375" style="296" customWidth="1"/>
    <col min="9228" max="9228" width="16.7109375" style="296" bestFit="1" customWidth="1"/>
    <col min="9229" max="9472" width="11.42578125" style="296"/>
    <col min="9473" max="9473" width="18.7109375" style="296" customWidth="1"/>
    <col min="9474" max="9476" width="0" style="296" hidden="1" customWidth="1"/>
    <col min="9477" max="9479" width="12.140625" style="296" customWidth="1"/>
    <col min="9480" max="9480" width="11.42578125" style="296"/>
    <col min="9481" max="9481" width="10.5703125" style="296" customWidth="1"/>
    <col min="9482" max="9482" width="10.7109375" style="296" customWidth="1"/>
    <col min="9483" max="9483" width="12.7109375" style="296" customWidth="1"/>
    <col min="9484" max="9484" width="16.7109375" style="296" bestFit="1" customWidth="1"/>
    <col min="9485" max="9728" width="11.42578125" style="296"/>
    <col min="9729" max="9729" width="18.7109375" style="296" customWidth="1"/>
    <col min="9730" max="9732" width="0" style="296" hidden="1" customWidth="1"/>
    <col min="9733" max="9735" width="12.140625" style="296" customWidth="1"/>
    <col min="9736" max="9736" width="11.42578125" style="296"/>
    <col min="9737" max="9737" width="10.5703125" style="296" customWidth="1"/>
    <col min="9738" max="9738" width="10.7109375" style="296" customWidth="1"/>
    <col min="9739" max="9739" width="12.7109375" style="296" customWidth="1"/>
    <col min="9740" max="9740" width="16.7109375" style="296" bestFit="1" customWidth="1"/>
    <col min="9741" max="9984" width="11.42578125" style="296"/>
    <col min="9985" max="9985" width="18.7109375" style="296" customWidth="1"/>
    <col min="9986" max="9988" width="0" style="296" hidden="1" customWidth="1"/>
    <col min="9989" max="9991" width="12.140625" style="296" customWidth="1"/>
    <col min="9992" max="9992" width="11.42578125" style="296"/>
    <col min="9993" max="9993" width="10.5703125" style="296" customWidth="1"/>
    <col min="9994" max="9994" width="10.7109375" style="296" customWidth="1"/>
    <col min="9995" max="9995" width="12.7109375" style="296" customWidth="1"/>
    <col min="9996" max="9996" width="16.7109375" style="296" bestFit="1" customWidth="1"/>
    <col min="9997" max="10240" width="11.42578125" style="296"/>
    <col min="10241" max="10241" width="18.7109375" style="296" customWidth="1"/>
    <col min="10242" max="10244" width="0" style="296" hidden="1" customWidth="1"/>
    <col min="10245" max="10247" width="12.140625" style="296" customWidth="1"/>
    <col min="10248" max="10248" width="11.42578125" style="296"/>
    <col min="10249" max="10249" width="10.5703125" style="296" customWidth="1"/>
    <col min="10250" max="10250" width="10.7109375" style="296" customWidth="1"/>
    <col min="10251" max="10251" width="12.7109375" style="296" customWidth="1"/>
    <col min="10252" max="10252" width="16.7109375" style="296" bestFit="1" customWidth="1"/>
    <col min="10253" max="10496" width="11.42578125" style="296"/>
    <col min="10497" max="10497" width="18.7109375" style="296" customWidth="1"/>
    <col min="10498" max="10500" width="0" style="296" hidden="1" customWidth="1"/>
    <col min="10501" max="10503" width="12.140625" style="296" customWidth="1"/>
    <col min="10504" max="10504" width="11.42578125" style="296"/>
    <col min="10505" max="10505" width="10.5703125" style="296" customWidth="1"/>
    <col min="10506" max="10506" width="10.7109375" style="296" customWidth="1"/>
    <col min="10507" max="10507" width="12.7109375" style="296" customWidth="1"/>
    <col min="10508" max="10508" width="16.7109375" style="296" bestFit="1" customWidth="1"/>
    <col min="10509" max="10752" width="11.42578125" style="296"/>
    <col min="10753" max="10753" width="18.7109375" style="296" customWidth="1"/>
    <col min="10754" max="10756" width="0" style="296" hidden="1" customWidth="1"/>
    <col min="10757" max="10759" width="12.140625" style="296" customWidth="1"/>
    <col min="10760" max="10760" width="11.42578125" style="296"/>
    <col min="10761" max="10761" width="10.5703125" style="296" customWidth="1"/>
    <col min="10762" max="10762" width="10.7109375" style="296" customWidth="1"/>
    <col min="10763" max="10763" width="12.7109375" style="296" customWidth="1"/>
    <col min="10764" max="10764" width="16.7109375" style="296" bestFit="1" customWidth="1"/>
    <col min="10765" max="11008" width="11.42578125" style="296"/>
    <col min="11009" max="11009" width="18.7109375" style="296" customWidth="1"/>
    <col min="11010" max="11012" width="0" style="296" hidden="1" customWidth="1"/>
    <col min="11013" max="11015" width="12.140625" style="296" customWidth="1"/>
    <col min="11016" max="11016" width="11.42578125" style="296"/>
    <col min="11017" max="11017" width="10.5703125" style="296" customWidth="1"/>
    <col min="11018" max="11018" width="10.7109375" style="296" customWidth="1"/>
    <col min="11019" max="11019" width="12.7109375" style="296" customWidth="1"/>
    <col min="11020" max="11020" width="16.7109375" style="296" bestFit="1" customWidth="1"/>
    <col min="11021" max="11264" width="11.42578125" style="296"/>
    <col min="11265" max="11265" width="18.7109375" style="296" customWidth="1"/>
    <col min="11266" max="11268" width="0" style="296" hidden="1" customWidth="1"/>
    <col min="11269" max="11271" width="12.140625" style="296" customWidth="1"/>
    <col min="11272" max="11272" width="11.42578125" style="296"/>
    <col min="11273" max="11273" width="10.5703125" style="296" customWidth="1"/>
    <col min="11274" max="11274" width="10.7109375" style="296" customWidth="1"/>
    <col min="11275" max="11275" width="12.7109375" style="296" customWidth="1"/>
    <col min="11276" max="11276" width="16.7109375" style="296" bestFit="1" customWidth="1"/>
    <col min="11277" max="11520" width="11.42578125" style="296"/>
    <col min="11521" max="11521" width="18.7109375" style="296" customWidth="1"/>
    <col min="11522" max="11524" width="0" style="296" hidden="1" customWidth="1"/>
    <col min="11525" max="11527" width="12.140625" style="296" customWidth="1"/>
    <col min="11528" max="11528" width="11.42578125" style="296"/>
    <col min="11529" max="11529" width="10.5703125" style="296" customWidth="1"/>
    <col min="11530" max="11530" width="10.7109375" style="296" customWidth="1"/>
    <col min="11531" max="11531" width="12.7109375" style="296" customWidth="1"/>
    <col min="11532" max="11532" width="16.7109375" style="296" bestFit="1" customWidth="1"/>
    <col min="11533" max="11776" width="11.42578125" style="296"/>
    <col min="11777" max="11777" width="18.7109375" style="296" customWidth="1"/>
    <col min="11778" max="11780" width="0" style="296" hidden="1" customWidth="1"/>
    <col min="11781" max="11783" width="12.140625" style="296" customWidth="1"/>
    <col min="11784" max="11784" width="11.42578125" style="296"/>
    <col min="11785" max="11785" width="10.5703125" style="296" customWidth="1"/>
    <col min="11786" max="11786" width="10.7109375" style="296" customWidth="1"/>
    <col min="11787" max="11787" width="12.7109375" style="296" customWidth="1"/>
    <col min="11788" max="11788" width="16.7109375" style="296" bestFit="1" customWidth="1"/>
    <col min="11789" max="12032" width="11.42578125" style="296"/>
    <col min="12033" max="12033" width="18.7109375" style="296" customWidth="1"/>
    <col min="12034" max="12036" width="0" style="296" hidden="1" customWidth="1"/>
    <col min="12037" max="12039" width="12.140625" style="296" customWidth="1"/>
    <col min="12040" max="12040" width="11.42578125" style="296"/>
    <col min="12041" max="12041" width="10.5703125" style="296" customWidth="1"/>
    <col min="12042" max="12042" width="10.7109375" style="296" customWidth="1"/>
    <col min="12043" max="12043" width="12.7109375" style="296" customWidth="1"/>
    <col min="12044" max="12044" width="16.7109375" style="296" bestFit="1" customWidth="1"/>
    <col min="12045" max="12288" width="11.42578125" style="296"/>
    <col min="12289" max="12289" width="18.7109375" style="296" customWidth="1"/>
    <col min="12290" max="12292" width="0" style="296" hidden="1" customWidth="1"/>
    <col min="12293" max="12295" width="12.140625" style="296" customWidth="1"/>
    <col min="12296" max="12296" width="11.42578125" style="296"/>
    <col min="12297" max="12297" width="10.5703125" style="296" customWidth="1"/>
    <col min="12298" max="12298" width="10.7109375" style="296" customWidth="1"/>
    <col min="12299" max="12299" width="12.7109375" style="296" customWidth="1"/>
    <col min="12300" max="12300" width="16.7109375" style="296" bestFit="1" customWidth="1"/>
    <col min="12301" max="12544" width="11.42578125" style="296"/>
    <col min="12545" max="12545" width="18.7109375" style="296" customWidth="1"/>
    <col min="12546" max="12548" width="0" style="296" hidden="1" customWidth="1"/>
    <col min="12549" max="12551" width="12.140625" style="296" customWidth="1"/>
    <col min="12552" max="12552" width="11.42578125" style="296"/>
    <col min="12553" max="12553" width="10.5703125" style="296" customWidth="1"/>
    <col min="12554" max="12554" width="10.7109375" style="296" customWidth="1"/>
    <col min="12555" max="12555" width="12.7109375" style="296" customWidth="1"/>
    <col min="12556" max="12556" width="16.7109375" style="296" bestFit="1" customWidth="1"/>
    <col min="12557" max="12800" width="11.42578125" style="296"/>
    <col min="12801" max="12801" width="18.7109375" style="296" customWidth="1"/>
    <col min="12802" max="12804" width="0" style="296" hidden="1" customWidth="1"/>
    <col min="12805" max="12807" width="12.140625" style="296" customWidth="1"/>
    <col min="12808" max="12808" width="11.42578125" style="296"/>
    <col min="12809" max="12809" width="10.5703125" style="296" customWidth="1"/>
    <col min="12810" max="12810" width="10.7109375" style="296" customWidth="1"/>
    <col min="12811" max="12811" width="12.7109375" style="296" customWidth="1"/>
    <col min="12812" max="12812" width="16.7109375" style="296" bestFit="1" customWidth="1"/>
    <col min="12813" max="13056" width="11.42578125" style="296"/>
    <col min="13057" max="13057" width="18.7109375" style="296" customWidth="1"/>
    <col min="13058" max="13060" width="0" style="296" hidden="1" customWidth="1"/>
    <col min="13061" max="13063" width="12.140625" style="296" customWidth="1"/>
    <col min="13064" max="13064" width="11.42578125" style="296"/>
    <col min="13065" max="13065" width="10.5703125" style="296" customWidth="1"/>
    <col min="13066" max="13066" width="10.7109375" style="296" customWidth="1"/>
    <col min="13067" max="13067" width="12.7109375" style="296" customWidth="1"/>
    <col min="13068" max="13068" width="16.7109375" style="296" bestFit="1" customWidth="1"/>
    <col min="13069" max="13312" width="11.42578125" style="296"/>
    <col min="13313" max="13313" width="18.7109375" style="296" customWidth="1"/>
    <col min="13314" max="13316" width="0" style="296" hidden="1" customWidth="1"/>
    <col min="13317" max="13319" width="12.140625" style="296" customWidth="1"/>
    <col min="13320" max="13320" width="11.42578125" style="296"/>
    <col min="13321" max="13321" width="10.5703125" style="296" customWidth="1"/>
    <col min="13322" max="13322" width="10.7109375" style="296" customWidth="1"/>
    <col min="13323" max="13323" width="12.7109375" style="296" customWidth="1"/>
    <col min="13324" max="13324" width="16.7109375" style="296" bestFit="1" customWidth="1"/>
    <col min="13325" max="13568" width="11.42578125" style="296"/>
    <col min="13569" max="13569" width="18.7109375" style="296" customWidth="1"/>
    <col min="13570" max="13572" width="0" style="296" hidden="1" customWidth="1"/>
    <col min="13573" max="13575" width="12.140625" style="296" customWidth="1"/>
    <col min="13576" max="13576" width="11.42578125" style="296"/>
    <col min="13577" max="13577" width="10.5703125" style="296" customWidth="1"/>
    <col min="13578" max="13578" width="10.7109375" style="296" customWidth="1"/>
    <col min="13579" max="13579" width="12.7109375" style="296" customWidth="1"/>
    <col min="13580" max="13580" width="16.7109375" style="296" bestFit="1" customWidth="1"/>
    <col min="13581" max="13824" width="11.42578125" style="296"/>
    <col min="13825" max="13825" width="18.7109375" style="296" customWidth="1"/>
    <col min="13826" max="13828" width="0" style="296" hidden="1" customWidth="1"/>
    <col min="13829" max="13831" width="12.140625" style="296" customWidth="1"/>
    <col min="13832" max="13832" width="11.42578125" style="296"/>
    <col min="13833" max="13833" width="10.5703125" style="296" customWidth="1"/>
    <col min="13834" max="13834" width="10.7109375" style="296" customWidth="1"/>
    <col min="13835" max="13835" width="12.7109375" style="296" customWidth="1"/>
    <col min="13836" max="13836" width="16.7109375" style="296" bestFit="1" customWidth="1"/>
    <col min="13837" max="14080" width="11.42578125" style="296"/>
    <col min="14081" max="14081" width="18.7109375" style="296" customWidth="1"/>
    <col min="14082" max="14084" width="0" style="296" hidden="1" customWidth="1"/>
    <col min="14085" max="14087" width="12.140625" style="296" customWidth="1"/>
    <col min="14088" max="14088" width="11.42578125" style="296"/>
    <col min="14089" max="14089" width="10.5703125" style="296" customWidth="1"/>
    <col min="14090" max="14090" width="10.7109375" style="296" customWidth="1"/>
    <col min="14091" max="14091" width="12.7109375" style="296" customWidth="1"/>
    <col min="14092" max="14092" width="16.7109375" style="296" bestFit="1" customWidth="1"/>
    <col min="14093" max="14336" width="11.42578125" style="296"/>
    <col min="14337" max="14337" width="18.7109375" style="296" customWidth="1"/>
    <col min="14338" max="14340" width="0" style="296" hidden="1" customWidth="1"/>
    <col min="14341" max="14343" width="12.140625" style="296" customWidth="1"/>
    <col min="14344" max="14344" width="11.42578125" style="296"/>
    <col min="14345" max="14345" width="10.5703125" style="296" customWidth="1"/>
    <col min="14346" max="14346" width="10.7109375" style="296" customWidth="1"/>
    <col min="14347" max="14347" width="12.7109375" style="296" customWidth="1"/>
    <col min="14348" max="14348" width="16.7109375" style="296" bestFit="1" customWidth="1"/>
    <col min="14349" max="14592" width="11.42578125" style="296"/>
    <col min="14593" max="14593" width="18.7109375" style="296" customWidth="1"/>
    <col min="14594" max="14596" width="0" style="296" hidden="1" customWidth="1"/>
    <col min="14597" max="14599" width="12.140625" style="296" customWidth="1"/>
    <col min="14600" max="14600" width="11.42578125" style="296"/>
    <col min="14601" max="14601" width="10.5703125" style="296" customWidth="1"/>
    <col min="14602" max="14602" width="10.7109375" style="296" customWidth="1"/>
    <col min="14603" max="14603" width="12.7109375" style="296" customWidth="1"/>
    <col min="14604" max="14604" width="16.7109375" style="296" bestFit="1" customWidth="1"/>
    <col min="14605" max="14848" width="11.42578125" style="296"/>
    <col min="14849" max="14849" width="18.7109375" style="296" customWidth="1"/>
    <col min="14850" max="14852" width="0" style="296" hidden="1" customWidth="1"/>
    <col min="14853" max="14855" width="12.140625" style="296" customWidth="1"/>
    <col min="14856" max="14856" width="11.42578125" style="296"/>
    <col min="14857" max="14857" width="10.5703125" style="296" customWidth="1"/>
    <col min="14858" max="14858" width="10.7109375" style="296" customWidth="1"/>
    <col min="14859" max="14859" width="12.7109375" style="296" customWidth="1"/>
    <col min="14860" max="14860" width="16.7109375" style="296" bestFit="1" customWidth="1"/>
    <col min="14861" max="15104" width="11.42578125" style="296"/>
    <col min="15105" max="15105" width="18.7109375" style="296" customWidth="1"/>
    <col min="15106" max="15108" width="0" style="296" hidden="1" customWidth="1"/>
    <col min="15109" max="15111" width="12.140625" style="296" customWidth="1"/>
    <col min="15112" max="15112" width="11.42578125" style="296"/>
    <col min="15113" max="15113" width="10.5703125" style="296" customWidth="1"/>
    <col min="15114" max="15114" width="10.7109375" style="296" customWidth="1"/>
    <col min="15115" max="15115" width="12.7109375" style="296" customWidth="1"/>
    <col min="15116" max="15116" width="16.7109375" style="296" bestFit="1" customWidth="1"/>
    <col min="15117" max="15360" width="11.42578125" style="296"/>
    <col min="15361" max="15361" width="18.7109375" style="296" customWidth="1"/>
    <col min="15362" max="15364" width="0" style="296" hidden="1" customWidth="1"/>
    <col min="15365" max="15367" width="12.140625" style="296" customWidth="1"/>
    <col min="15368" max="15368" width="11.42578125" style="296"/>
    <col min="15369" max="15369" width="10.5703125" style="296" customWidth="1"/>
    <col min="15370" max="15370" width="10.7109375" style="296" customWidth="1"/>
    <col min="15371" max="15371" width="12.7109375" style="296" customWidth="1"/>
    <col min="15372" max="15372" width="16.7109375" style="296" bestFit="1" customWidth="1"/>
    <col min="15373" max="15616" width="11.42578125" style="296"/>
    <col min="15617" max="15617" width="18.7109375" style="296" customWidth="1"/>
    <col min="15618" max="15620" width="0" style="296" hidden="1" customWidth="1"/>
    <col min="15621" max="15623" width="12.140625" style="296" customWidth="1"/>
    <col min="15624" max="15624" width="11.42578125" style="296"/>
    <col min="15625" max="15625" width="10.5703125" style="296" customWidth="1"/>
    <col min="15626" max="15626" width="10.7109375" style="296" customWidth="1"/>
    <col min="15627" max="15627" width="12.7109375" style="296" customWidth="1"/>
    <col min="15628" max="15628" width="16.7109375" style="296" bestFit="1" customWidth="1"/>
    <col min="15629" max="15872" width="11.42578125" style="296"/>
    <col min="15873" max="15873" width="18.7109375" style="296" customWidth="1"/>
    <col min="15874" max="15876" width="0" style="296" hidden="1" customWidth="1"/>
    <col min="15877" max="15879" width="12.140625" style="296" customWidth="1"/>
    <col min="15880" max="15880" width="11.42578125" style="296"/>
    <col min="15881" max="15881" width="10.5703125" style="296" customWidth="1"/>
    <col min="15882" max="15882" width="10.7109375" style="296" customWidth="1"/>
    <col min="15883" max="15883" width="12.7109375" style="296" customWidth="1"/>
    <col min="15884" max="15884" width="16.7109375" style="296" bestFit="1" customWidth="1"/>
    <col min="15885" max="16128" width="11.42578125" style="296"/>
    <col min="16129" max="16129" width="18.7109375" style="296" customWidth="1"/>
    <col min="16130" max="16132" width="0" style="296" hidden="1" customWidth="1"/>
    <col min="16133" max="16135" width="12.140625" style="296" customWidth="1"/>
    <col min="16136" max="16136" width="11.42578125" style="296"/>
    <col min="16137" max="16137" width="10.5703125" style="296" customWidth="1"/>
    <col min="16138" max="16138" width="10.7109375" style="296" customWidth="1"/>
    <col min="16139" max="16139" width="12.7109375" style="296" customWidth="1"/>
    <col min="16140" max="16140" width="16.7109375" style="296" bestFit="1" customWidth="1"/>
    <col min="16141" max="16384" width="11.42578125" style="296"/>
  </cols>
  <sheetData>
    <row r="1" spans="1:13">
      <c r="F1" s="297" t="s">
        <v>872</v>
      </c>
      <c r="J1" s="297" t="s">
        <v>873</v>
      </c>
    </row>
    <row r="2" spans="1:13">
      <c r="A2" s="298"/>
      <c r="B2" s="299" t="s">
        <v>194</v>
      </c>
      <c r="C2" s="299" t="s">
        <v>874</v>
      </c>
      <c r="D2" s="299" t="s">
        <v>875</v>
      </c>
      <c r="E2" s="300" t="str">
        <f>B2</f>
        <v>Kompost</v>
      </c>
      <c r="F2" s="299" t="str">
        <f>C2</f>
        <v>Gärgut, fest</v>
      </c>
      <c r="G2" s="301" t="str">
        <f>D2</f>
        <v>Gärgut, flüssig</v>
      </c>
      <c r="H2" s="302" t="s">
        <v>876</v>
      </c>
      <c r="I2" s="300" t="str">
        <f>B2</f>
        <v>Kompost</v>
      </c>
      <c r="J2" s="299" t="str">
        <f>C2</f>
        <v>Gärgut, fest</v>
      </c>
      <c r="K2" s="301" t="str">
        <f>D2</f>
        <v>Gärgut, flüssig</v>
      </c>
      <c r="L2" s="298" t="s">
        <v>877</v>
      </c>
      <c r="M2" s="296" t="s">
        <v>878</v>
      </c>
    </row>
    <row r="3" spans="1:13">
      <c r="A3" s="303"/>
      <c r="B3" s="304" t="s">
        <v>879</v>
      </c>
      <c r="C3" s="304" t="str">
        <f>B3</f>
        <v>kg/m3 FM</v>
      </c>
      <c r="D3" s="304" t="str">
        <f>C3</f>
        <v>kg/m3 FM</v>
      </c>
      <c r="E3" s="305" t="s">
        <v>880</v>
      </c>
      <c r="F3" s="304" t="str">
        <f>E3</f>
        <v>kg/t FM</v>
      </c>
      <c r="G3" s="306" t="str">
        <f>F3</f>
        <v>kg/t FM</v>
      </c>
      <c r="H3" s="307" t="s">
        <v>301</v>
      </c>
      <c r="I3" s="305" t="s">
        <v>881</v>
      </c>
      <c r="J3" s="304" t="str">
        <f>I3</f>
        <v>CHF/t GG</v>
      </c>
      <c r="K3" s="306" t="str">
        <f>J3</f>
        <v>CHF/t GG</v>
      </c>
      <c r="L3" s="303"/>
    </row>
    <row r="4" spans="1:13" ht="12.75">
      <c r="A4" s="296" t="s">
        <v>882</v>
      </c>
      <c r="B4" s="308">
        <v>0.54</v>
      </c>
      <c r="C4" s="308">
        <v>0.4</v>
      </c>
      <c r="D4" s="308">
        <v>2.2999999999999998</v>
      </c>
      <c r="E4" s="309">
        <f>B4/B$11</f>
        <v>0.90000000000000013</v>
      </c>
      <c r="F4" s="310">
        <f t="shared" ref="F4:G7" si="0">C4/C$11</f>
        <v>0.85106382978723416</v>
      </c>
      <c r="G4" s="311">
        <f t="shared" si="0"/>
        <v>2.2999999999999998</v>
      </c>
      <c r="H4" s="312">
        <v>2.4</v>
      </c>
      <c r="I4" s="313">
        <f>E4*$H4*E$9</f>
        <v>1.08</v>
      </c>
      <c r="J4" s="314">
        <f t="shared" ref="J4:K8" si="1">F4*$H4*F$9</f>
        <v>0.44936170212765963</v>
      </c>
      <c r="K4" s="315">
        <f t="shared" si="1"/>
        <v>2.3643896976483769</v>
      </c>
      <c r="L4" s="298" t="s">
        <v>883</v>
      </c>
      <c r="M4" s="316">
        <f>SUMPRODUCT(F4:G4,F$9:G$9)/E4/E$9</f>
        <v>2.6053253701629964</v>
      </c>
    </row>
    <row r="5" spans="1:13" ht="12.75">
      <c r="A5" s="296" t="s">
        <v>884</v>
      </c>
      <c r="B5" s="308">
        <v>2.1</v>
      </c>
      <c r="C5" s="308">
        <v>2</v>
      </c>
      <c r="D5" s="308">
        <v>1.9</v>
      </c>
      <c r="E5" s="309">
        <f>B5/B$11</f>
        <v>3.5000000000000004</v>
      </c>
      <c r="F5" s="310">
        <f t="shared" si="0"/>
        <v>4.2553191489361701</v>
      </c>
      <c r="G5" s="311">
        <f t="shared" si="0"/>
        <v>1.9</v>
      </c>
      <c r="H5" s="312">
        <v>3.4</v>
      </c>
      <c r="I5" s="313">
        <f>E5*$H5*E$9</f>
        <v>5.95</v>
      </c>
      <c r="J5" s="314">
        <f t="shared" si="1"/>
        <v>3.182978723404255</v>
      </c>
      <c r="K5" s="315">
        <f t="shared" si="1"/>
        <v>2.7670212765957456</v>
      </c>
      <c r="L5" s="317" t="s">
        <v>883</v>
      </c>
      <c r="M5" s="316">
        <f>SUMPRODUCT(F5:G5,F$9:G$9)/E5/E$9</f>
        <v>1</v>
      </c>
    </row>
    <row r="6" spans="1:13" ht="12.75">
      <c r="A6" s="296" t="s">
        <v>885</v>
      </c>
      <c r="B6" s="308">
        <v>4.5999999999999996</v>
      </c>
      <c r="C6" s="308">
        <v>3.2</v>
      </c>
      <c r="D6" s="308">
        <v>4.5</v>
      </c>
      <c r="E6" s="309">
        <f>B6/B$11</f>
        <v>7.6666666666666661</v>
      </c>
      <c r="F6" s="310">
        <f t="shared" si="0"/>
        <v>6.8085106382978733</v>
      </c>
      <c r="G6" s="311">
        <f t="shared" si="0"/>
        <v>4.5</v>
      </c>
      <c r="H6" s="312">
        <v>1.9</v>
      </c>
      <c r="I6" s="313">
        <f>E6*$H6*E$9</f>
        <v>7.2833333333333323</v>
      </c>
      <c r="J6" s="314">
        <f t="shared" si="1"/>
        <v>2.8459574468085109</v>
      </c>
      <c r="K6" s="315">
        <f t="shared" si="1"/>
        <v>3.6622340425531923</v>
      </c>
      <c r="L6" s="317" t="s">
        <v>883</v>
      </c>
      <c r="M6" s="316">
        <f>SUMPRODUCT(F6:G6,F$9:G$9)/E6/E$9</f>
        <v>0.89357320220069159</v>
      </c>
    </row>
    <row r="7" spans="1:13" ht="12.75">
      <c r="A7" s="296" t="s">
        <v>886</v>
      </c>
      <c r="B7" s="308">
        <v>15.3</v>
      </c>
      <c r="C7" s="308">
        <v>22</v>
      </c>
      <c r="D7" s="308">
        <v>5</v>
      </c>
      <c r="E7" s="309">
        <f>B7/B$11</f>
        <v>25.500000000000004</v>
      </c>
      <c r="F7" s="310">
        <f t="shared" si="0"/>
        <v>46.808510638297875</v>
      </c>
      <c r="G7" s="311">
        <f t="shared" si="0"/>
        <v>5</v>
      </c>
      <c r="H7" s="312">
        <f>0.33*0.4</f>
        <v>0.13200000000000001</v>
      </c>
      <c r="I7" s="313">
        <f>E7*$H7*E$9</f>
        <v>1.6830000000000003</v>
      </c>
      <c r="J7" s="314">
        <f t="shared" si="1"/>
        <v>1.3593191489361702</v>
      </c>
      <c r="K7" s="315">
        <f t="shared" si="1"/>
        <v>0.28269876819708856</v>
      </c>
      <c r="L7" s="317" t="s">
        <v>883</v>
      </c>
      <c r="M7" s="316">
        <f>SUMPRODUCT(F7:G7,F$9:G$9)/E7/E$9</f>
        <v>0.97564938629427134</v>
      </c>
    </row>
    <row r="8" spans="1:13" ht="12.75">
      <c r="A8" s="296" t="s">
        <v>887</v>
      </c>
      <c r="B8" s="308"/>
      <c r="C8" s="308"/>
      <c r="D8" s="308"/>
      <c r="E8" s="318">
        <v>63</v>
      </c>
      <c r="F8" s="308">
        <v>54</v>
      </c>
      <c r="G8" s="308">
        <v>8</v>
      </c>
      <c r="H8" s="312">
        <f>225/85</f>
        <v>2.6470588235294117</v>
      </c>
      <c r="I8" s="313">
        <f>E8*$H8*E$9</f>
        <v>83.382352941176464</v>
      </c>
      <c r="J8" s="314">
        <f t="shared" si="1"/>
        <v>31.44705882352941</v>
      </c>
      <c r="K8" s="315">
        <f t="shared" si="1"/>
        <v>9.0705487122060493</v>
      </c>
      <c r="L8" s="303" t="s">
        <v>888</v>
      </c>
      <c r="M8" s="316">
        <f>SUMPRODUCT(F8:G8,F$9:G$9)/E8/E$9</f>
        <v>0.48592545192769165</v>
      </c>
    </row>
    <row r="9" spans="1:13" ht="12.75">
      <c r="A9" s="319" t="s">
        <v>889</v>
      </c>
      <c r="B9" s="319"/>
      <c r="C9" s="319"/>
      <c r="D9" s="319"/>
      <c r="E9" s="320">
        <v>0.5</v>
      </c>
      <c r="F9" s="321">
        <v>0.22</v>
      </c>
      <c r="G9" s="322">
        <f>(E9*E5-F9*F5)/G5</f>
        <v>0.42833146696528568</v>
      </c>
      <c r="H9" s="323"/>
      <c r="I9" s="324">
        <f>SUM(I4:I8)</f>
        <v>99.378686274509789</v>
      </c>
      <c r="J9" s="325">
        <f>SUM(J4:J8)</f>
        <v>39.284675844806003</v>
      </c>
      <c r="K9" s="326">
        <f>SUM(K4:K8)</f>
        <v>18.146892497200454</v>
      </c>
    </row>
    <row r="10" spans="1:13" ht="12.75">
      <c r="A10" s="319" t="s">
        <v>890</v>
      </c>
      <c r="B10" s="319"/>
      <c r="C10" s="319"/>
      <c r="D10" s="319"/>
      <c r="E10" s="321"/>
      <c r="F10" s="321"/>
      <c r="G10" s="321"/>
      <c r="H10" s="325"/>
      <c r="I10" s="327">
        <v>1</v>
      </c>
      <c r="J10" s="328">
        <f>J9/$I9</f>
        <v>0.39530282918302528</v>
      </c>
      <c r="K10" s="329">
        <f>K9/$I9</f>
        <v>0.18260346536554142</v>
      </c>
    </row>
    <row r="11" spans="1:13" ht="12.75">
      <c r="A11" s="330" t="s">
        <v>891</v>
      </c>
      <c r="B11" s="308">
        <v>0.6</v>
      </c>
      <c r="C11" s="308">
        <v>0.47</v>
      </c>
      <c r="D11" s="308">
        <v>1</v>
      </c>
      <c r="I11" s="331">
        <f>I9/E9</f>
        <v>198.75737254901958</v>
      </c>
      <c r="J11" s="331">
        <f>J9/F9</f>
        <v>178.56670838548183</v>
      </c>
      <c r="K11" s="331">
        <f>K9/G9</f>
        <v>42.366470588235295</v>
      </c>
    </row>
    <row r="12" spans="1:13" ht="12.75">
      <c r="L12" s="332">
        <f>(J9+K9)/I9</f>
        <v>0.57790629454856668</v>
      </c>
    </row>
    <row r="13" spans="1:13">
      <c r="I13" s="333" t="s">
        <v>892</v>
      </c>
      <c r="J13" s="333" t="s">
        <v>892</v>
      </c>
      <c r="K13" s="333" t="s">
        <v>892</v>
      </c>
    </row>
    <row r="14" spans="1:13">
      <c r="I14" s="334">
        <f t="shared" ref="I14:K18" si="2">E4*$H4</f>
        <v>2.16</v>
      </c>
      <c r="J14" s="334">
        <f t="shared" si="2"/>
        <v>2.042553191489362</v>
      </c>
      <c r="K14" s="334">
        <f t="shared" si="2"/>
        <v>5.52</v>
      </c>
    </row>
    <row r="15" spans="1:13">
      <c r="I15" s="334">
        <f t="shared" si="2"/>
        <v>11.9</v>
      </c>
      <c r="J15" s="334">
        <f t="shared" si="2"/>
        <v>14.468085106382977</v>
      </c>
      <c r="K15" s="334">
        <f t="shared" si="2"/>
        <v>6.46</v>
      </c>
    </row>
    <row r="16" spans="1:13">
      <c r="I16" s="334">
        <f t="shared" si="2"/>
        <v>14.566666666666665</v>
      </c>
      <c r="J16" s="334">
        <f t="shared" si="2"/>
        <v>12.936170212765958</v>
      </c>
      <c r="K16" s="334">
        <f t="shared" si="2"/>
        <v>8.5499999999999989</v>
      </c>
    </row>
    <row r="17" spans="9:11">
      <c r="I17" s="334">
        <f t="shared" si="2"/>
        <v>3.3660000000000005</v>
      </c>
      <c r="J17" s="334">
        <f t="shared" si="2"/>
        <v>6.1787234042553196</v>
      </c>
      <c r="K17" s="334">
        <f t="shared" si="2"/>
        <v>0.66</v>
      </c>
    </row>
    <row r="18" spans="9:11">
      <c r="I18" s="334">
        <f t="shared" si="2"/>
        <v>166.76470588235293</v>
      </c>
      <c r="J18" s="334">
        <f t="shared" si="2"/>
        <v>142.94117647058823</v>
      </c>
      <c r="K18" s="334">
        <f t="shared" si="2"/>
        <v>21.176470588235293</v>
      </c>
    </row>
    <row r="19" spans="9:11" ht="12.75">
      <c r="I19" s="325">
        <f>SUM(I14:I18)</f>
        <v>198.75737254901958</v>
      </c>
      <c r="J19" s="325">
        <f>SUM(J14:J18)</f>
        <v>178.56670838548186</v>
      </c>
      <c r="K19" s="325">
        <f>SUM(K14:K18)</f>
        <v>42.366470588235295</v>
      </c>
    </row>
  </sheetData>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3:L65"/>
  <sheetViews>
    <sheetView workbookViewId="0"/>
  </sheetViews>
  <sheetFormatPr baseColWidth="10" defaultRowHeight="12.75"/>
  <sheetData>
    <row r="23" spans="1:2">
      <c r="A23" t="s">
        <v>570</v>
      </c>
      <c r="B23" t="s">
        <v>571</v>
      </c>
    </row>
    <row r="24" spans="1:2">
      <c r="A24" t="s">
        <v>572</v>
      </c>
      <c r="B24" t="s">
        <v>573</v>
      </c>
    </row>
    <row r="25" spans="1:2">
      <c r="A25" t="s">
        <v>574</v>
      </c>
      <c r="B25" t="s">
        <v>981</v>
      </c>
    </row>
    <row r="26" spans="1:2">
      <c r="A26" t="s">
        <v>575</v>
      </c>
      <c r="B26" t="s">
        <v>982</v>
      </c>
    </row>
    <row r="27" spans="1:2">
      <c r="A27" t="s">
        <v>576</v>
      </c>
      <c r="B27" t="s">
        <v>983</v>
      </c>
    </row>
    <row r="28" spans="1:2">
      <c r="A28" t="s">
        <v>577</v>
      </c>
      <c r="B28" t="s">
        <v>984</v>
      </c>
    </row>
    <row r="29" spans="1:2">
      <c r="A29" t="s">
        <v>578</v>
      </c>
      <c r="B29" t="s">
        <v>985</v>
      </c>
    </row>
    <row r="30" spans="1:2">
      <c r="A30" t="s">
        <v>579</v>
      </c>
      <c r="B30" t="s">
        <v>986</v>
      </c>
    </row>
    <row r="31" spans="1:2">
      <c r="A31" t="s">
        <v>580</v>
      </c>
      <c r="B31" t="s">
        <v>987</v>
      </c>
    </row>
    <row r="32" spans="1:2">
      <c r="A32" t="s">
        <v>581</v>
      </c>
      <c r="B32" t="s">
        <v>988</v>
      </c>
    </row>
    <row r="33" spans="1:12">
      <c r="A33" t="s">
        <v>582</v>
      </c>
      <c r="B33" t="s">
        <v>989</v>
      </c>
    </row>
    <row r="34" spans="1:12">
      <c r="A34" t="s">
        <v>583</v>
      </c>
      <c r="B34" t="s">
        <v>897</v>
      </c>
    </row>
    <row r="35" spans="1:12">
      <c r="A35" t="s">
        <v>523</v>
      </c>
      <c r="B35" t="s">
        <v>919</v>
      </c>
    </row>
    <row r="36" spans="1:12">
      <c r="A36" t="s">
        <v>524</v>
      </c>
      <c r="B36" t="s">
        <v>525</v>
      </c>
    </row>
    <row r="37" spans="1:12">
      <c r="A37" t="s">
        <v>526</v>
      </c>
      <c r="B37" t="s">
        <v>657</v>
      </c>
    </row>
    <row r="38" spans="1:12">
      <c r="A38" t="s">
        <v>923</v>
      </c>
      <c r="B38" t="s">
        <v>530</v>
      </c>
    </row>
    <row r="39" spans="1:12">
      <c r="A39" t="s">
        <v>527</v>
      </c>
      <c r="B39" t="s">
        <v>528</v>
      </c>
    </row>
    <row r="40" spans="1:12">
      <c r="A40" t="s">
        <v>529</v>
      </c>
      <c r="B40" t="s">
        <v>530</v>
      </c>
    </row>
    <row r="41" spans="1:12">
      <c r="A41" t="s">
        <v>531</v>
      </c>
      <c r="B41" t="s">
        <v>530</v>
      </c>
    </row>
    <row r="42" spans="1:12">
      <c r="A42" t="s">
        <v>596</v>
      </c>
      <c r="B42" t="s">
        <v>537</v>
      </c>
    </row>
    <row r="43" spans="1:12">
      <c r="A43" t="s">
        <v>597</v>
      </c>
      <c r="B43" t="s">
        <v>598</v>
      </c>
    </row>
    <row r="45" spans="1:12" s="3" customFormat="1" ht="89.25">
      <c r="A45" s="3" t="s">
        <v>537</v>
      </c>
      <c r="B45" s="3" t="s">
        <v>533</v>
      </c>
      <c r="C45" s="3" t="s">
        <v>990</v>
      </c>
      <c r="D45" s="3" t="s">
        <v>991</v>
      </c>
      <c r="E45" s="3" t="s">
        <v>992</v>
      </c>
      <c r="F45" s="3" t="s">
        <v>993</v>
      </c>
      <c r="G45" s="3" t="s">
        <v>994</v>
      </c>
      <c r="H45" s="3" t="s">
        <v>995</v>
      </c>
      <c r="I45" s="3" t="s">
        <v>996</v>
      </c>
      <c r="J45" s="3" t="s">
        <v>997</v>
      </c>
      <c r="K45" s="3" t="s">
        <v>900</v>
      </c>
      <c r="L45" s="3" t="s">
        <v>900</v>
      </c>
    </row>
    <row r="46" spans="1:12">
      <c r="A46" t="s">
        <v>35</v>
      </c>
      <c r="B46" t="s">
        <v>2</v>
      </c>
      <c r="C46">
        <v>7.5974374999999997E-2</v>
      </c>
      <c r="D46">
        <v>5.3171283E-2</v>
      </c>
      <c r="E46" s="4">
        <v>9.7936654999999997E-3</v>
      </c>
      <c r="F46">
        <v>2.5846549E-2</v>
      </c>
      <c r="G46">
        <v>4.2477529999999999E-2</v>
      </c>
      <c r="H46">
        <v>4.9017670999999999E-2</v>
      </c>
      <c r="I46" s="4">
        <v>8.3534847000000002E-3</v>
      </c>
      <c r="J46">
        <v>5.5762579E-2</v>
      </c>
      <c r="K46">
        <v>1.6039082E-2</v>
      </c>
      <c r="L46">
        <v>3.3797196999999999</v>
      </c>
    </row>
    <row r="47" spans="1:12">
      <c r="A47" t="s">
        <v>729</v>
      </c>
      <c r="B47" t="s">
        <v>2</v>
      </c>
      <c r="C47" s="4">
        <v>2.1795557E-2</v>
      </c>
      <c r="D47" s="4">
        <v>1.8868807000000001E-3</v>
      </c>
      <c r="E47" s="4">
        <v>3.3736728000000002E-5</v>
      </c>
      <c r="F47" s="4">
        <v>1.4728275E-4</v>
      </c>
      <c r="G47" s="4">
        <v>1.4588890000000001E-4</v>
      </c>
      <c r="H47" s="4">
        <v>2.4849398000000001E-4</v>
      </c>
      <c r="I47" s="4">
        <v>3.0135567999999999E-5</v>
      </c>
      <c r="J47" s="4">
        <v>2.2600733999999999E-4</v>
      </c>
      <c r="K47" s="4">
        <v>1.0135978E-3</v>
      </c>
      <c r="L47">
        <v>0.21358308000000001</v>
      </c>
    </row>
    <row r="48" spans="1:12">
      <c r="A48" t="s">
        <v>730</v>
      </c>
      <c r="B48" t="s">
        <v>2</v>
      </c>
      <c r="C48" s="4">
        <v>1.5780112000000001E-5</v>
      </c>
      <c r="D48" s="4">
        <v>1.5706962E-5</v>
      </c>
      <c r="E48" s="4">
        <v>4.7742520999999996E-6</v>
      </c>
      <c r="F48" s="4">
        <v>1.212674E-5</v>
      </c>
      <c r="G48" s="4">
        <v>2.1094076999999999E-5</v>
      </c>
      <c r="H48" s="4">
        <v>2.3630317E-5</v>
      </c>
      <c r="I48" s="4">
        <v>4.2543771999999998E-6</v>
      </c>
      <c r="J48" s="4">
        <v>2.7726678E-5</v>
      </c>
      <c r="K48" s="4">
        <v>2.2219597E-6</v>
      </c>
      <c r="L48">
        <v>4.6820641000000002E-4</v>
      </c>
    </row>
    <row r="49" spans="1:12">
      <c r="A49" t="s">
        <v>731</v>
      </c>
      <c r="B49" t="s">
        <v>2</v>
      </c>
      <c r="C49">
        <v>1.403944E-2</v>
      </c>
      <c r="D49">
        <v>1.2759675999999999E-2</v>
      </c>
      <c r="E49">
        <v>4.9144024000000001E-3</v>
      </c>
      <c r="F49">
        <v>1.2030842999999999E-2</v>
      </c>
      <c r="G49">
        <v>2.1011773000000001E-2</v>
      </c>
      <c r="H49">
        <v>2.3044477000000001E-2</v>
      </c>
      <c r="I49">
        <v>4.0444792000000002E-3</v>
      </c>
      <c r="J49">
        <v>2.6738395000000002E-2</v>
      </c>
      <c r="K49">
        <v>2.3619886E-3</v>
      </c>
      <c r="L49">
        <v>0.49771300000000002</v>
      </c>
    </row>
    <row r="50" spans="1:12">
      <c r="A50" t="s">
        <v>732</v>
      </c>
      <c r="B50" t="s">
        <v>2</v>
      </c>
      <c r="C50" s="4">
        <v>3.7565258E-3</v>
      </c>
      <c r="D50" s="4">
        <v>3.8286031999999999E-3</v>
      </c>
      <c r="E50" s="4">
        <v>6.9373484E-4</v>
      </c>
      <c r="F50" s="4">
        <v>2.2706339000000001E-3</v>
      </c>
      <c r="G50" s="4">
        <v>3.0647061E-3</v>
      </c>
      <c r="H50" s="4">
        <v>4.1304604999999996E-3</v>
      </c>
      <c r="I50" s="4">
        <v>6.1923643000000002E-4</v>
      </c>
      <c r="J50" s="4">
        <v>4.3146262000000003E-3</v>
      </c>
      <c r="K50" s="4">
        <v>4.6893991000000003E-4</v>
      </c>
      <c r="L50">
        <v>9.8813975999999998E-2</v>
      </c>
    </row>
    <row r="51" spans="1:12">
      <c r="A51" t="s">
        <v>733</v>
      </c>
      <c r="B51" t="s">
        <v>2</v>
      </c>
      <c r="C51" s="4">
        <v>5.6414128999999998E-5</v>
      </c>
      <c r="D51" s="4">
        <v>1.6359875000000001E-5</v>
      </c>
      <c r="E51" s="4">
        <v>3.6518904000000001E-7</v>
      </c>
      <c r="F51" s="4">
        <v>4.1893501999999998E-6</v>
      </c>
      <c r="G51" s="4">
        <v>2.0148763999999999E-6</v>
      </c>
      <c r="H51" s="4">
        <v>6.5292403000000002E-6</v>
      </c>
      <c r="I51" s="4">
        <v>5.3299638000000002E-7</v>
      </c>
      <c r="J51" s="4">
        <v>4.7000995000000004E-6</v>
      </c>
      <c r="K51" s="4">
        <v>6.7545960000000004E-6</v>
      </c>
      <c r="L51">
        <v>1.4233135E-3</v>
      </c>
    </row>
    <row r="52" spans="1:12">
      <c r="A52" t="s">
        <v>734</v>
      </c>
      <c r="B52" t="s">
        <v>2</v>
      </c>
      <c r="C52" s="4">
        <v>2.2998089000000001E-6</v>
      </c>
      <c r="D52" s="4">
        <v>8.3855369000000005E-7</v>
      </c>
      <c r="E52" s="4">
        <v>1.0998742000000001E-7</v>
      </c>
      <c r="F52" s="4">
        <v>3.9626677000000002E-7</v>
      </c>
      <c r="G52" s="4">
        <v>4.9093316000000004E-7</v>
      </c>
      <c r="H52" s="4">
        <v>7.0720066999999998E-7</v>
      </c>
      <c r="I52" s="4">
        <v>1.0020297999999999E-7</v>
      </c>
      <c r="J52" s="4">
        <v>7.1049837000000003E-7</v>
      </c>
      <c r="K52" s="4">
        <v>1.1468037999999999E-7</v>
      </c>
      <c r="L52" s="4">
        <v>2.4165195E-5</v>
      </c>
    </row>
    <row r="53" spans="1:12">
      <c r="A53" t="s">
        <v>735</v>
      </c>
      <c r="B53" t="s">
        <v>2</v>
      </c>
      <c r="C53">
        <v>4.7013254999999998E-4</v>
      </c>
      <c r="D53">
        <v>4.6419670000000002E-4</v>
      </c>
      <c r="E53" s="4">
        <v>5.3088782000000003E-5</v>
      </c>
      <c r="F53">
        <v>1.8940402999999999E-4</v>
      </c>
      <c r="G53">
        <v>2.2847599000000001E-4</v>
      </c>
      <c r="H53">
        <v>3.3047779999999998E-4</v>
      </c>
      <c r="I53" s="4">
        <v>4.4916332000000003E-5</v>
      </c>
      <c r="J53">
        <v>3.2771822E-4</v>
      </c>
      <c r="K53" s="4">
        <v>5.9334408000000001E-5</v>
      </c>
      <c r="L53">
        <v>1.2502815E-2</v>
      </c>
    </row>
    <row r="54" spans="1:12">
      <c r="A54" t="s">
        <v>736</v>
      </c>
      <c r="B54" t="s">
        <v>2</v>
      </c>
      <c r="C54">
        <v>9.2550067999999999E-4</v>
      </c>
      <c r="D54">
        <v>1.0169966E-3</v>
      </c>
      <c r="E54" s="4">
        <v>3.9283192000000002E-4</v>
      </c>
      <c r="F54">
        <v>9.2586245E-4</v>
      </c>
      <c r="G54">
        <v>1.675997E-3</v>
      </c>
      <c r="H54">
        <v>1.7894090000000001E-3</v>
      </c>
      <c r="I54" s="4">
        <v>3.2102740000000002E-4</v>
      </c>
      <c r="J54">
        <v>2.1083688000000001E-3</v>
      </c>
      <c r="K54">
        <v>4.1331792000000002E-4</v>
      </c>
      <c r="L54">
        <v>8.7093434999999997E-2</v>
      </c>
    </row>
    <row r="55" spans="1:12">
      <c r="A55" t="s">
        <v>737</v>
      </c>
      <c r="B55" t="s">
        <v>2</v>
      </c>
      <c r="C55">
        <v>2.2180569000000001E-2</v>
      </c>
      <c r="D55">
        <v>1.969717E-2</v>
      </c>
      <c r="E55" s="4">
        <v>5.9746646000000001E-5</v>
      </c>
      <c r="F55" s="4">
        <v>2.0640063999999999E-4</v>
      </c>
      <c r="G55" s="4">
        <v>2.6369885E-4</v>
      </c>
      <c r="H55" s="4">
        <v>3.7063782000000003E-4</v>
      </c>
      <c r="I55" s="4">
        <v>5.3120822000000002E-5</v>
      </c>
      <c r="J55" s="4">
        <v>3.7609817999999999E-4</v>
      </c>
      <c r="K55" s="4">
        <v>1.0912506000000001E-2</v>
      </c>
      <c r="L55">
        <v>2.2994590000000001</v>
      </c>
    </row>
    <row r="56" spans="1:12">
      <c r="A56" t="s">
        <v>738</v>
      </c>
      <c r="B56" t="s">
        <v>2</v>
      </c>
      <c r="C56">
        <v>3.1158704E-4</v>
      </c>
      <c r="D56">
        <v>2.6238463999999999E-4</v>
      </c>
      <c r="E56" s="4">
        <v>7.1135310000000004E-6</v>
      </c>
      <c r="F56" s="4">
        <v>6.3463327000000007E-5</v>
      </c>
      <c r="G56" s="4">
        <v>3.1803049000000001E-5</v>
      </c>
      <c r="H56" s="4">
        <v>9.8422865999999996E-5</v>
      </c>
      <c r="I56" s="4">
        <v>6.6504318E-6</v>
      </c>
      <c r="J56" s="4">
        <v>6.5606778000000003E-5</v>
      </c>
      <c r="K56" s="4">
        <v>4.3121470999999998E-5</v>
      </c>
      <c r="L56">
        <v>9.0864606000000004E-3</v>
      </c>
    </row>
    <row r="57" spans="1:12">
      <c r="A57" t="s">
        <v>739</v>
      </c>
      <c r="B57" t="s">
        <v>2</v>
      </c>
      <c r="C57">
        <v>1.2420568999999999E-2</v>
      </c>
      <c r="D57">
        <v>1.322247E-2</v>
      </c>
      <c r="E57">
        <v>3.6337612000000002E-3</v>
      </c>
      <c r="F57">
        <v>9.9959469000000002E-3</v>
      </c>
      <c r="G57">
        <v>1.6031587E-2</v>
      </c>
      <c r="H57">
        <v>1.8974425999999999E-2</v>
      </c>
      <c r="I57">
        <v>3.2290308999999998E-3</v>
      </c>
      <c r="J57">
        <v>2.1572621E-2</v>
      </c>
      <c r="K57">
        <v>7.5718476000000005E-4</v>
      </c>
      <c r="L57">
        <v>0.15955229000000001</v>
      </c>
    </row>
    <row r="58" spans="1:12">
      <c r="B58" s="149" t="s">
        <v>998</v>
      </c>
      <c r="K58" s="376"/>
    </row>
    <row r="59" spans="1:12">
      <c r="A59" s="149" t="s">
        <v>1000</v>
      </c>
      <c r="B59">
        <v>0.08</v>
      </c>
      <c r="C59">
        <f t="shared" ref="C59:J59" si="0">C46*$B59/C60</f>
        <v>1.8530335365853655E-2</v>
      </c>
      <c r="D59">
        <f t="shared" si="0"/>
        <v>1.2968605609756097E-2</v>
      </c>
      <c r="E59">
        <f t="shared" si="0"/>
        <v>4.3527402222222223E-3</v>
      </c>
      <c r="F59">
        <f t="shared" si="0"/>
        <v>6.3040363414634138E-3</v>
      </c>
      <c r="G59">
        <f t="shared" si="0"/>
        <v>1.8878902222222223E-2</v>
      </c>
      <c r="H59">
        <f t="shared" si="0"/>
        <v>1.1955529512195123E-2</v>
      </c>
      <c r="I59">
        <f t="shared" si="0"/>
        <v>3.7126598666666669E-3</v>
      </c>
      <c r="J59">
        <f t="shared" si="0"/>
        <v>1.3600629024390245E-2</v>
      </c>
    </row>
    <row r="60" spans="1:12">
      <c r="A60" s="149" t="s">
        <v>999</v>
      </c>
      <c r="C60">
        <v>0.32800000000000001</v>
      </c>
      <c r="D60">
        <f>$C$60</f>
        <v>0.32800000000000001</v>
      </c>
      <c r="E60">
        <v>0.18</v>
      </c>
      <c r="F60">
        <f>$C$60</f>
        <v>0.32800000000000001</v>
      </c>
      <c r="G60">
        <f>$E$60</f>
        <v>0.18</v>
      </c>
      <c r="H60">
        <f>$C$60</f>
        <v>0.32800000000000001</v>
      </c>
      <c r="I60">
        <f>$E$60</f>
        <v>0.18</v>
      </c>
      <c r="J60">
        <f>$C$60</f>
        <v>0.32800000000000001</v>
      </c>
    </row>
    <row r="63" spans="1:12">
      <c r="A63" s="149" t="s">
        <v>1001</v>
      </c>
      <c r="I63">
        <f>AVERAGE(E59,G59,I59)</f>
        <v>8.9814341037037036E-3</v>
      </c>
      <c r="J63">
        <f>AVERAGE(C59:J59)</f>
        <v>1.1287929770596204E-2</v>
      </c>
    </row>
    <row r="65" spans="9:11">
      <c r="I65" s="376">
        <f>I63*Substrates!$F$30*1000</f>
        <v>0</v>
      </c>
      <c r="J65" s="376">
        <f>J63*Substrates!$F$30*1000</f>
        <v>0</v>
      </c>
      <c r="K65" s="376">
        <f>K46*Substrates!$F$30*1000</f>
        <v>0</v>
      </c>
    </row>
  </sheetData>
  <conditionalFormatting sqref="C46:J46">
    <cfRule type="colorScale" priority="2">
      <colorScale>
        <cfvo type="min"/>
        <cfvo type="percentile" val="50"/>
        <cfvo type="max"/>
        <color rgb="FF63BE7B"/>
        <color rgb="FFFFEB84"/>
        <color rgb="FFF8696B"/>
      </colorScale>
    </cfRule>
  </conditionalFormatting>
  <conditionalFormatting sqref="C59:J59">
    <cfRule type="colorScale" priority="1">
      <colorScale>
        <cfvo type="min"/>
        <cfvo type="percentile" val="50"/>
        <cfvo type="max"/>
        <color rgb="FF63BE7B"/>
        <color rgb="FFFFEB84"/>
        <color rgb="FFF8696B"/>
      </colorScale>
    </cfRule>
  </conditionalFormatting>
  <pageMargins left="0.7" right="0.7" top="0.78740157499999996" bottom="0.78740157499999996" header="0.3" footer="0.3"/>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79"/>
  <sheetViews>
    <sheetView workbookViewId="0"/>
  </sheetViews>
  <sheetFormatPr baseColWidth="10" defaultColWidth="11.42578125" defaultRowHeight="12" outlineLevelRow="1"/>
  <cols>
    <col min="1" max="1" width="46.85546875" style="34" customWidth="1"/>
    <col min="2" max="2" width="13.28515625" style="34" customWidth="1"/>
    <col min="3" max="3" width="14" style="34" bestFit="1" customWidth="1"/>
    <col min="4" max="4" width="12.28515625" style="34" bestFit="1" customWidth="1"/>
    <col min="5" max="6" width="6.5703125" style="34" customWidth="1"/>
    <col min="7" max="7" width="8.85546875" style="34" bestFit="1" customWidth="1"/>
    <col min="8" max="8" width="7.42578125" style="34" customWidth="1"/>
    <col min="9" max="9" width="13.85546875" style="34" bestFit="1" customWidth="1"/>
    <col min="10" max="10" width="11.5703125" style="34" bestFit="1" customWidth="1"/>
    <col min="11" max="16384" width="11.42578125" style="34"/>
  </cols>
  <sheetData>
    <row r="1" spans="1:9">
      <c r="A1" s="29"/>
      <c r="B1" s="33" t="s">
        <v>176</v>
      </c>
      <c r="C1" s="32" t="s">
        <v>177</v>
      </c>
      <c r="D1" s="32" t="s">
        <v>178</v>
      </c>
      <c r="E1" s="32" t="s">
        <v>179</v>
      </c>
      <c r="F1" s="32" t="s">
        <v>180</v>
      </c>
      <c r="G1" s="32" t="s">
        <v>228</v>
      </c>
      <c r="H1" s="32" t="s">
        <v>232</v>
      </c>
      <c r="I1" s="29"/>
    </row>
    <row r="2" spans="1:9">
      <c r="A2" s="29" t="s">
        <v>181</v>
      </c>
      <c r="B2" s="30" t="s">
        <v>182</v>
      </c>
      <c r="C2" s="30" t="s">
        <v>75</v>
      </c>
      <c r="D2" s="30" t="s">
        <v>75</v>
      </c>
      <c r="E2" s="30" t="s">
        <v>75</v>
      </c>
      <c r="F2" s="30" t="s">
        <v>75</v>
      </c>
      <c r="G2" s="30"/>
      <c r="H2" s="30"/>
      <c r="I2" s="29" t="s">
        <v>183</v>
      </c>
    </row>
    <row r="3" spans="1:9">
      <c r="A3" s="29" t="s">
        <v>221</v>
      </c>
      <c r="B3" s="30" t="s">
        <v>184</v>
      </c>
      <c r="C3" s="35">
        <v>6.67</v>
      </c>
      <c r="D3" s="36">
        <f>2285/10000</f>
        <v>0.22850000000000001</v>
      </c>
      <c r="E3" s="36">
        <f>998/10000</f>
        <v>9.98E-2</v>
      </c>
      <c r="F3" s="36">
        <v>0.245</v>
      </c>
      <c r="G3" s="36"/>
      <c r="H3" s="36"/>
      <c r="I3" s="29" t="s">
        <v>185</v>
      </c>
    </row>
    <row r="4" spans="1:9">
      <c r="A4" s="29" t="s">
        <v>218</v>
      </c>
      <c r="B4" s="30" t="s">
        <v>184</v>
      </c>
      <c r="C4" s="35">
        <v>12.7</v>
      </c>
      <c r="D4" s="36">
        <v>8.4000000000000005E-2</v>
      </c>
      <c r="E4" s="36">
        <f>998/10000</f>
        <v>9.98E-2</v>
      </c>
      <c r="F4" s="36">
        <v>0.245</v>
      </c>
      <c r="G4" s="36"/>
      <c r="H4" s="36"/>
      <c r="I4" s="29" t="s">
        <v>185</v>
      </c>
    </row>
    <row r="5" spans="1:9">
      <c r="A5" s="29" t="s">
        <v>219</v>
      </c>
      <c r="B5" s="30" t="s">
        <v>184</v>
      </c>
      <c r="C5" s="35">
        <v>10.5</v>
      </c>
      <c r="D5" s="36">
        <f>2920/10000</f>
        <v>0.29199999999999998</v>
      </c>
      <c r="E5" s="36">
        <f>998/10000</f>
        <v>9.98E-2</v>
      </c>
      <c r="F5" s="36">
        <v>0.245</v>
      </c>
      <c r="G5" s="36"/>
      <c r="H5" s="36"/>
      <c r="I5" s="29" t="s">
        <v>185</v>
      </c>
    </row>
    <row r="6" spans="1:9">
      <c r="A6" s="29" t="s">
        <v>186</v>
      </c>
      <c r="B6" s="30" t="s">
        <v>184</v>
      </c>
      <c r="C6" s="50">
        <v>6.67</v>
      </c>
      <c r="D6" s="51">
        <v>2.29E-2</v>
      </c>
      <c r="E6" s="51">
        <v>9.98E-2</v>
      </c>
      <c r="F6" s="51">
        <v>0.245</v>
      </c>
      <c r="G6" s="36"/>
      <c r="H6" s="36"/>
      <c r="I6" s="29" t="s">
        <v>187</v>
      </c>
    </row>
    <row r="7" spans="1:9">
      <c r="A7" s="29" t="s">
        <v>188</v>
      </c>
      <c r="B7" s="30" t="s">
        <v>184</v>
      </c>
      <c r="C7" s="50">
        <v>0.4</v>
      </c>
      <c r="D7" s="51">
        <v>0.1</v>
      </c>
      <c r="E7" s="51">
        <v>1.7999999999999999E-2</v>
      </c>
      <c r="F7" s="51">
        <v>0</v>
      </c>
      <c r="G7" s="36"/>
      <c r="H7" s="36"/>
      <c r="I7" s="29" t="s">
        <v>189</v>
      </c>
    </row>
    <row r="8" spans="1:9">
      <c r="A8" s="29" t="s">
        <v>190</v>
      </c>
      <c r="B8" s="30" t="s">
        <v>184</v>
      </c>
      <c r="C8" s="50">
        <v>1</v>
      </c>
      <c r="D8" s="51">
        <f>D7</f>
        <v>0.1</v>
      </c>
      <c r="E8" s="51">
        <f>E7</f>
        <v>1.7999999999999999E-2</v>
      </c>
      <c r="F8" s="51">
        <f>F7</f>
        <v>0</v>
      </c>
      <c r="G8" s="36"/>
      <c r="H8" s="36"/>
      <c r="I8" s="29" t="s">
        <v>189</v>
      </c>
    </row>
    <row r="9" spans="1:9">
      <c r="A9" s="29" t="s">
        <v>222</v>
      </c>
      <c r="B9" s="30" t="s">
        <v>184</v>
      </c>
      <c r="C9" s="50">
        <f>0.4*0.77*0.53*0.24*0.55*0.3*16/12*1000</f>
        <v>8.6190720000000027</v>
      </c>
      <c r="D9" s="51">
        <f>2285/10000</f>
        <v>0.22850000000000001</v>
      </c>
      <c r="E9" s="51">
        <f>998/10000</f>
        <v>9.98E-2</v>
      </c>
      <c r="F9" s="51">
        <f>2852/10000</f>
        <v>0.28520000000000001</v>
      </c>
      <c r="G9" s="36"/>
      <c r="H9" s="36"/>
      <c r="I9" s="29" t="s">
        <v>211</v>
      </c>
    </row>
    <row r="10" spans="1:9">
      <c r="A10" s="29" t="s">
        <v>212</v>
      </c>
      <c r="B10" s="30" t="s">
        <v>184</v>
      </c>
      <c r="C10" s="50">
        <v>0.4881414</v>
      </c>
      <c r="D10" s="51">
        <v>0.66700000000000004</v>
      </c>
      <c r="E10" s="51">
        <v>0.20899999999999999</v>
      </c>
      <c r="F10" s="51">
        <v>0.245</v>
      </c>
      <c r="G10" s="36"/>
      <c r="H10" s="36"/>
      <c r="I10" s="29" t="s">
        <v>211</v>
      </c>
    </row>
    <row r="11" spans="1:9">
      <c r="A11" s="29" t="s">
        <v>191</v>
      </c>
      <c r="B11" s="30" t="s">
        <v>184</v>
      </c>
      <c r="C11" s="50">
        <v>1</v>
      </c>
      <c r="D11" s="51">
        <v>2.3E-2</v>
      </c>
      <c r="E11" s="51">
        <v>0.11</v>
      </c>
      <c r="F11" s="51">
        <v>0.3</v>
      </c>
      <c r="G11" s="36"/>
      <c r="H11" s="36"/>
      <c r="I11" s="29" t="s">
        <v>192</v>
      </c>
    </row>
    <row r="12" spans="1:9">
      <c r="A12" s="29" t="s">
        <v>231</v>
      </c>
      <c r="B12" s="30" t="s">
        <v>184</v>
      </c>
      <c r="C12" s="50">
        <v>1</v>
      </c>
      <c r="D12" s="51">
        <v>0.19</v>
      </c>
      <c r="E12" s="51">
        <v>7.0000000000000007E-2</v>
      </c>
      <c r="F12" s="51"/>
      <c r="G12" s="36">
        <v>0.24</v>
      </c>
      <c r="H12" s="36">
        <v>2.4E-2</v>
      </c>
      <c r="I12" s="29" t="s">
        <v>230</v>
      </c>
    </row>
    <row r="13" spans="1:9">
      <c r="A13" s="29" t="s">
        <v>722</v>
      </c>
      <c r="B13" s="30" t="s">
        <v>184</v>
      </c>
      <c r="C13" s="50">
        <v>0.6</v>
      </c>
      <c r="D13" s="51"/>
      <c r="E13" s="51">
        <v>0.05</v>
      </c>
      <c r="F13" s="51"/>
      <c r="G13" s="36"/>
      <c r="H13" s="36"/>
      <c r="I13" s="29" t="s">
        <v>724</v>
      </c>
    </row>
    <row r="14" spans="1:9">
      <c r="A14" s="29" t="s">
        <v>723</v>
      </c>
      <c r="B14" s="30" t="s">
        <v>184</v>
      </c>
      <c r="C14" s="50">
        <v>1.5</v>
      </c>
      <c r="D14" s="51"/>
      <c r="E14" s="51">
        <v>0.05</v>
      </c>
      <c r="F14" s="51"/>
      <c r="G14" s="36"/>
      <c r="H14" s="36"/>
      <c r="I14" s="29" t="s">
        <v>724</v>
      </c>
    </row>
    <row r="15" spans="1:9">
      <c r="A15" s="29"/>
      <c r="B15" s="30"/>
      <c r="C15" s="50"/>
      <c r="D15" s="51"/>
      <c r="E15" s="51"/>
      <c r="F15" s="51"/>
      <c r="G15" s="36"/>
      <c r="H15" s="36"/>
      <c r="I15" s="29"/>
    </row>
    <row r="16" spans="1:9">
      <c r="A16" s="29" t="s">
        <v>214</v>
      </c>
      <c r="B16" s="30" t="s">
        <v>199</v>
      </c>
      <c r="C16" s="50">
        <v>6.28</v>
      </c>
      <c r="D16" s="51">
        <v>2.12</v>
      </c>
      <c r="E16" s="51">
        <v>0</v>
      </c>
      <c r="F16" s="51">
        <v>0</v>
      </c>
      <c r="G16" s="36"/>
      <c r="H16" s="36"/>
      <c r="I16" s="29" t="s">
        <v>213</v>
      </c>
    </row>
    <row r="17" spans="1:11">
      <c r="A17" s="29" t="s">
        <v>209</v>
      </c>
      <c r="B17" s="30" t="s">
        <v>199</v>
      </c>
      <c r="C17" s="50">
        <v>1</v>
      </c>
      <c r="D17" s="51">
        <v>0.3</v>
      </c>
      <c r="E17" s="51">
        <v>1.7999999999999999E-2</v>
      </c>
      <c r="F17" s="51">
        <v>0</v>
      </c>
      <c r="G17" s="36"/>
      <c r="H17" s="36"/>
      <c r="I17" s="29" t="s">
        <v>189</v>
      </c>
    </row>
    <row r="18" spans="1:11">
      <c r="A18" s="29" t="s">
        <v>209</v>
      </c>
      <c r="B18" s="30" t="s">
        <v>199</v>
      </c>
      <c r="C18" s="50">
        <v>6.28</v>
      </c>
      <c r="D18" s="51">
        <v>2.12</v>
      </c>
      <c r="E18" s="51">
        <v>0</v>
      </c>
      <c r="F18" s="51">
        <v>0</v>
      </c>
      <c r="G18" s="36"/>
      <c r="H18" s="36"/>
      <c r="I18" s="29" t="s">
        <v>211</v>
      </c>
      <c r="J18" s="30" t="s">
        <v>521</v>
      </c>
      <c r="K18" s="37">
        <f>CH4_nichtabgedeckt</f>
        <v>0.05</v>
      </c>
    </row>
    <row r="19" spans="1:11">
      <c r="A19" s="29" t="s">
        <v>210</v>
      </c>
      <c r="B19" s="30" t="s">
        <v>199</v>
      </c>
      <c r="C19" s="50">
        <f>C18*0.2</f>
        <v>1.2560000000000002</v>
      </c>
      <c r="D19" s="51">
        <f>D18</f>
        <v>2.12</v>
      </c>
      <c r="E19" s="51">
        <f>C19*2.04/6.54</f>
        <v>0.39177981651376154</v>
      </c>
      <c r="F19" s="51">
        <v>0</v>
      </c>
      <c r="G19" s="36"/>
      <c r="H19" s="36"/>
      <c r="I19" s="29" t="s">
        <v>211</v>
      </c>
      <c r="J19" s="30" t="s">
        <v>521</v>
      </c>
      <c r="K19" s="37">
        <v>0.01</v>
      </c>
    </row>
    <row r="20" spans="1:11">
      <c r="A20" s="29" t="s">
        <v>513</v>
      </c>
      <c r="B20" s="30"/>
      <c r="C20" s="50"/>
      <c r="D20" s="143">
        <v>0.4</v>
      </c>
      <c r="E20" s="51"/>
      <c r="F20" s="51"/>
      <c r="G20" s="36"/>
      <c r="H20" s="36"/>
      <c r="I20" s="29" t="s">
        <v>213</v>
      </c>
    </row>
    <row r="21" spans="1:11">
      <c r="A21" s="29" t="s">
        <v>514</v>
      </c>
      <c r="B21" s="30"/>
      <c r="C21" s="50"/>
      <c r="D21" s="143">
        <v>0.1</v>
      </c>
      <c r="E21" s="51"/>
      <c r="F21" s="51"/>
      <c r="G21" s="36"/>
      <c r="H21" s="36"/>
      <c r="I21" s="29" t="s">
        <v>213</v>
      </c>
    </row>
    <row r="22" spans="1:11">
      <c r="A22" s="29"/>
      <c r="B22" s="30"/>
      <c r="C22" s="50"/>
      <c r="D22" s="143"/>
      <c r="E22" s="51"/>
      <c r="F22" s="51"/>
      <c r="G22" s="36"/>
      <c r="H22" s="36"/>
      <c r="I22" s="29"/>
    </row>
    <row r="23" spans="1:11">
      <c r="A23" s="29" t="s">
        <v>193</v>
      </c>
      <c r="B23" s="30" t="s">
        <v>184</v>
      </c>
      <c r="C23" s="50">
        <v>4.875</v>
      </c>
      <c r="D23" s="51">
        <v>0.42</v>
      </c>
      <c r="E23" s="51">
        <f>998/10000</f>
        <v>9.98E-2</v>
      </c>
      <c r="F23" s="51">
        <v>0.245</v>
      </c>
      <c r="G23" s="36"/>
      <c r="H23" s="36"/>
      <c r="I23" s="29" t="s">
        <v>185</v>
      </c>
    </row>
    <row r="24" spans="1:11">
      <c r="A24" s="29" t="s">
        <v>220</v>
      </c>
      <c r="B24" s="30" t="s">
        <v>184</v>
      </c>
      <c r="C24" s="50">
        <v>9.77</v>
      </c>
      <c r="D24" s="51">
        <v>2.1000000000000001E-2</v>
      </c>
      <c r="E24" s="51">
        <f>998/10000</f>
        <v>9.98E-2</v>
      </c>
      <c r="F24" s="51">
        <v>0.245</v>
      </c>
      <c r="G24" s="36"/>
      <c r="H24" s="36"/>
      <c r="I24" s="29" t="s">
        <v>185</v>
      </c>
    </row>
    <row r="25" spans="1:11">
      <c r="A25" s="29" t="s">
        <v>194</v>
      </c>
      <c r="B25" s="30" t="s">
        <v>184</v>
      </c>
      <c r="C25" s="50">
        <v>4.88</v>
      </c>
      <c r="D25" s="51">
        <v>0.42</v>
      </c>
      <c r="E25" s="51">
        <v>9.98E-2</v>
      </c>
      <c r="F25" s="51">
        <v>0.245</v>
      </c>
      <c r="G25" s="36"/>
      <c r="H25" s="36"/>
      <c r="I25" s="29" t="s">
        <v>187</v>
      </c>
    </row>
    <row r="26" spans="1:11">
      <c r="A26" s="29" t="s">
        <v>195</v>
      </c>
      <c r="B26" s="30" t="s">
        <v>184</v>
      </c>
      <c r="C26" s="50">
        <v>1</v>
      </c>
      <c r="D26" s="51">
        <f>D11</f>
        <v>2.3E-2</v>
      </c>
      <c r="E26" s="51">
        <v>0.2</v>
      </c>
      <c r="F26" s="51">
        <f>F11</f>
        <v>0.3</v>
      </c>
      <c r="G26" s="36"/>
      <c r="H26" s="36"/>
      <c r="I26" s="29" t="s">
        <v>192</v>
      </c>
    </row>
    <row r="27" spans="1:11">
      <c r="A27" s="29" t="s">
        <v>241</v>
      </c>
      <c r="B27" s="30" t="s">
        <v>184</v>
      </c>
      <c r="C27" s="50">
        <v>1</v>
      </c>
      <c r="D27" s="51">
        <v>0.5</v>
      </c>
      <c r="E27" s="51">
        <v>0.05</v>
      </c>
      <c r="F27" s="51"/>
      <c r="G27" s="36"/>
      <c r="H27" s="36"/>
      <c r="I27" s="29" t="s">
        <v>721</v>
      </c>
    </row>
    <row r="28" spans="1:11">
      <c r="A28" s="29"/>
      <c r="B28" s="30"/>
      <c r="C28" s="36"/>
      <c r="D28" s="36"/>
      <c r="E28" s="36"/>
      <c r="F28" s="36"/>
      <c r="G28" s="36"/>
      <c r="H28" s="36"/>
      <c r="I28" s="29"/>
    </row>
    <row r="29" spans="1:11">
      <c r="A29" s="31" t="s">
        <v>239</v>
      </c>
      <c r="B29" s="32" t="s">
        <v>36</v>
      </c>
      <c r="C29" s="32" t="str">
        <f t="shared" ref="C29:H29" si="0">C1</f>
        <v>CH4</v>
      </c>
      <c r="D29" s="32" t="str">
        <f t="shared" si="0"/>
        <v>NH3</v>
      </c>
      <c r="E29" s="32" t="str">
        <f t="shared" si="0"/>
        <v>N2O</v>
      </c>
      <c r="F29" s="32" t="str">
        <f t="shared" si="0"/>
        <v>H2S</v>
      </c>
      <c r="G29" s="32" t="str">
        <f t="shared" si="0"/>
        <v>NMVOC</v>
      </c>
      <c r="H29" s="32" t="str">
        <f t="shared" si="0"/>
        <v>NOx</v>
      </c>
      <c r="I29" s="31"/>
    </row>
    <row r="30" spans="1:11">
      <c r="A30" s="29" t="s">
        <v>217</v>
      </c>
      <c r="B30" s="30" t="s">
        <v>202</v>
      </c>
      <c r="C30" s="37"/>
      <c r="D30" s="37">
        <v>-0.4</v>
      </c>
      <c r="E30" s="37"/>
      <c r="F30" s="37"/>
      <c r="G30" s="37"/>
      <c r="H30" s="37"/>
      <c r="I30" s="29" t="s">
        <v>189</v>
      </c>
    </row>
    <row r="31" spans="1:11">
      <c r="A31" s="29" t="s">
        <v>217</v>
      </c>
      <c r="B31" s="30" t="s">
        <v>202</v>
      </c>
      <c r="C31" s="37"/>
      <c r="D31" s="37">
        <f>100/155-1</f>
        <v>-0.35483870967741937</v>
      </c>
      <c r="E31" s="37">
        <v>0</v>
      </c>
      <c r="F31" s="37"/>
      <c r="G31" s="37"/>
      <c r="H31" s="37"/>
      <c r="I31" s="29" t="s">
        <v>208</v>
      </c>
    </row>
    <row r="32" spans="1:11">
      <c r="A32" s="29" t="s">
        <v>226</v>
      </c>
      <c r="B32" s="30" t="s">
        <v>202</v>
      </c>
      <c r="C32" s="37"/>
      <c r="D32" s="37">
        <f>40/155-1</f>
        <v>-0.74193548387096775</v>
      </c>
      <c r="E32" s="37">
        <f>200/100-1</f>
        <v>1</v>
      </c>
      <c r="F32" s="37"/>
      <c r="G32" s="37"/>
      <c r="H32" s="37"/>
      <c r="I32" s="29" t="s">
        <v>208</v>
      </c>
    </row>
    <row r="33" spans="1:17">
      <c r="A33" s="29" t="s">
        <v>227</v>
      </c>
      <c r="B33" s="30" t="s">
        <v>203</v>
      </c>
      <c r="C33" s="37">
        <v>-0.75</v>
      </c>
      <c r="D33" s="37"/>
      <c r="E33" s="37">
        <v>0</v>
      </c>
      <c r="F33" s="37"/>
      <c r="G33" s="37"/>
      <c r="H33" s="37"/>
      <c r="I33" s="29" t="s">
        <v>189</v>
      </c>
    </row>
    <row r="34" spans="1:17">
      <c r="A34" s="29" t="s">
        <v>227</v>
      </c>
      <c r="B34" s="30" t="s">
        <v>203</v>
      </c>
      <c r="C34" s="37">
        <v>-0.8</v>
      </c>
      <c r="D34" s="37"/>
      <c r="E34" s="37">
        <v>0</v>
      </c>
      <c r="F34" s="37"/>
      <c r="G34" s="37"/>
      <c r="H34" s="37"/>
      <c r="I34" s="29" t="s">
        <v>211</v>
      </c>
    </row>
    <row r="35" spans="1:17">
      <c r="A35" s="38" t="s">
        <v>204</v>
      </c>
      <c r="B35" s="30" t="s">
        <v>205</v>
      </c>
      <c r="C35" s="43">
        <f>16.88/18.75-1</f>
        <v>-9.973333333333334E-2</v>
      </c>
      <c r="D35" s="37"/>
      <c r="E35" s="37"/>
      <c r="F35" s="37"/>
      <c r="G35" s="37"/>
      <c r="H35" s="37"/>
      <c r="I35" s="29" t="s">
        <v>206</v>
      </c>
    </row>
    <row r="36" spans="1:17">
      <c r="A36" s="38" t="s">
        <v>216</v>
      </c>
      <c r="B36" s="30" t="s">
        <v>205</v>
      </c>
      <c r="C36" s="43">
        <f>46.88/18.75-1</f>
        <v>1.5002666666666666</v>
      </c>
      <c r="D36" s="37"/>
      <c r="E36" s="37"/>
      <c r="F36" s="37"/>
      <c r="G36" s="37"/>
      <c r="H36" s="37"/>
      <c r="I36" s="29" t="s">
        <v>207</v>
      </c>
    </row>
    <row r="37" spans="1:17">
      <c r="A37" s="29" t="s">
        <v>215</v>
      </c>
      <c r="B37" s="30" t="s">
        <v>203</v>
      </c>
      <c r="C37" s="37"/>
      <c r="D37" s="37">
        <v>-0.95</v>
      </c>
      <c r="E37" s="37">
        <v>1</v>
      </c>
      <c r="F37" s="37"/>
      <c r="G37" s="37"/>
      <c r="H37" s="37"/>
      <c r="I37" s="29" t="s">
        <v>192</v>
      </c>
    </row>
    <row r="38" spans="1:17">
      <c r="A38" s="29" t="s">
        <v>224</v>
      </c>
      <c r="B38" s="30" t="s">
        <v>223</v>
      </c>
      <c r="C38" s="37">
        <f>C4/C3-1</f>
        <v>0.90404797601199394</v>
      </c>
      <c r="D38" s="37">
        <f>D4/D3-1</f>
        <v>-0.63238512035010941</v>
      </c>
      <c r="E38" s="37">
        <f>E4/E3-1</f>
        <v>0</v>
      </c>
      <c r="F38" s="37">
        <f>F4/F3-1</f>
        <v>0</v>
      </c>
      <c r="G38" s="37"/>
      <c r="H38" s="37"/>
      <c r="I38" s="29" t="s">
        <v>185</v>
      </c>
    </row>
    <row r="39" spans="1:17">
      <c r="A39" s="29" t="s">
        <v>225</v>
      </c>
      <c r="B39" s="30" t="s">
        <v>223</v>
      </c>
      <c r="C39" s="37">
        <f>C5/C3-1</f>
        <v>0.57421289355322336</v>
      </c>
      <c r="D39" s="37">
        <f>D5/D3-1</f>
        <v>0.27789934354485757</v>
      </c>
      <c r="E39" s="37">
        <f>E5/E3-1</f>
        <v>0</v>
      </c>
      <c r="F39" s="37">
        <f>F5/F3-1</f>
        <v>0</v>
      </c>
      <c r="G39" s="37"/>
      <c r="H39" s="37"/>
      <c r="I39" s="29" t="s">
        <v>185</v>
      </c>
    </row>
    <row r="40" spans="1:17">
      <c r="A40" s="29" t="s">
        <v>229</v>
      </c>
      <c r="B40" s="30"/>
      <c r="C40" s="37">
        <v>0</v>
      </c>
      <c r="D40" s="37">
        <v>-0.9</v>
      </c>
      <c r="E40" s="37">
        <f>1/0.7-1</f>
        <v>0.4285714285714286</v>
      </c>
      <c r="F40" s="37"/>
      <c r="G40" s="37">
        <v>-0.8</v>
      </c>
      <c r="H40" s="37"/>
      <c r="I40" s="29" t="s">
        <v>230</v>
      </c>
    </row>
    <row r="41" spans="1:17">
      <c r="C41" s="39"/>
    </row>
    <row r="42" spans="1:17">
      <c r="A42" s="44" t="s">
        <v>519</v>
      </c>
      <c r="B42" s="45" t="str">
        <f t="shared" ref="B42:H42" si="1">B29</f>
        <v>Referenz</v>
      </c>
      <c r="C42" s="45" t="str">
        <f t="shared" si="1"/>
        <v>CH4</v>
      </c>
      <c r="D42" s="45" t="str">
        <f t="shared" si="1"/>
        <v>NH3</v>
      </c>
      <c r="E42" s="45" t="str">
        <f t="shared" si="1"/>
        <v>N2O</v>
      </c>
      <c r="F42" s="53" t="str">
        <f t="shared" si="1"/>
        <v>H2S</v>
      </c>
      <c r="G42" s="53" t="str">
        <f t="shared" si="1"/>
        <v>NMVOC</v>
      </c>
      <c r="H42" s="53" t="str">
        <f t="shared" si="1"/>
        <v>NOx</v>
      </c>
      <c r="K42" s="49" t="s">
        <v>240</v>
      </c>
      <c r="L42" s="49"/>
      <c r="M42" s="49"/>
      <c r="N42" s="49"/>
      <c r="O42" s="49"/>
      <c r="P42" s="49"/>
      <c r="Q42" s="49"/>
    </row>
    <row r="43" spans="1:17">
      <c r="A43" s="60" t="s">
        <v>287</v>
      </c>
      <c r="B43" s="61" t="s">
        <v>245</v>
      </c>
      <c r="C43" s="144">
        <v>1</v>
      </c>
      <c r="D43" s="144">
        <v>0.42</v>
      </c>
      <c r="E43" s="145">
        <f>E24</f>
        <v>9.98E-2</v>
      </c>
      <c r="F43" s="144">
        <v>0.28000000000000003</v>
      </c>
      <c r="G43" s="144">
        <v>0.24</v>
      </c>
      <c r="H43" s="144">
        <v>0.02</v>
      </c>
      <c r="K43" s="146" t="s">
        <v>520</v>
      </c>
      <c r="L43" s="146"/>
      <c r="M43" s="146"/>
      <c r="N43" s="146"/>
      <c r="O43" s="146"/>
      <c r="P43" s="146"/>
      <c r="Q43" s="146"/>
    </row>
    <row r="44" spans="1:17">
      <c r="A44" s="46" t="s">
        <v>170</v>
      </c>
      <c r="B44" s="47" t="s">
        <v>241</v>
      </c>
      <c r="C44" s="48">
        <v>0</v>
      </c>
      <c r="D44" s="48">
        <v>0</v>
      </c>
      <c r="E44" s="48">
        <v>0</v>
      </c>
      <c r="F44" s="55">
        <v>0</v>
      </c>
      <c r="G44" s="55">
        <v>0</v>
      </c>
      <c r="H44" s="55">
        <v>0</v>
      </c>
      <c r="J44" s="34">
        <v>1</v>
      </c>
      <c r="K44" s="34" t="s">
        <v>242</v>
      </c>
    </row>
    <row r="45" spans="1:17">
      <c r="A45" s="46" t="s">
        <v>235</v>
      </c>
      <c r="B45" s="47" t="str">
        <f>B44</f>
        <v>Kompostierung</v>
      </c>
      <c r="C45" s="48">
        <v>1.5</v>
      </c>
      <c r="D45" s="48">
        <v>0</v>
      </c>
      <c r="E45" s="48">
        <v>0</v>
      </c>
      <c r="F45" s="55">
        <v>0</v>
      </c>
      <c r="G45" s="55">
        <v>0</v>
      </c>
      <c r="H45" s="55">
        <v>0</v>
      </c>
      <c r="J45" s="34">
        <v>2</v>
      </c>
    </row>
    <row r="46" spans="1:17">
      <c r="A46" s="46" t="s">
        <v>173</v>
      </c>
      <c r="B46" s="47" t="str">
        <f t="shared" ref="B46:B53" si="2">B45</f>
        <v>Kompostierung</v>
      </c>
      <c r="C46" s="48">
        <v>-0.1</v>
      </c>
      <c r="D46" s="48">
        <v>0</v>
      </c>
      <c r="E46" s="48">
        <v>0</v>
      </c>
      <c r="F46" s="55">
        <v>0</v>
      </c>
      <c r="G46" s="55">
        <v>0</v>
      </c>
      <c r="H46" s="55">
        <v>0</v>
      </c>
      <c r="J46" s="34">
        <v>3</v>
      </c>
    </row>
    <row r="47" spans="1:17">
      <c r="A47" s="46" t="s">
        <v>506</v>
      </c>
      <c r="B47" s="47" t="str">
        <f t="shared" si="2"/>
        <v>Kompostierung</v>
      </c>
      <c r="C47" s="48">
        <v>-0.75</v>
      </c>
      <c r="D47" s="48">
        <v>-0.9</v>
      </c>
      <c r="E47" s="48">
        <v>0.5</v>
      </c>
      <c r="F47" s="55">
        <v>0</v>
      </c>
      <c r="G47" s="55">
        <v>-0.8</v>
      </c>
      <c r="H47" s="55">
        <v>0</v>
      </c>
      <c r="J47" s="34">
        <v>4</v>
      </c>
    </row>
    <row r="48" spans="1:17">
      <c r="A48" s="46" t="s">
        <v>234</v>
      </c>
      <c r="B48" s="47" t="str">
        <f t="shared" si="2"/>
        <v>Kompostierung</v>
      </c>
      <c r="C48" s="48">
        <v>-1</v>
      </c>
      <c r="D48" s="48">
        <v>-1</v>
      </c>
      <c r="E48" s="48">
        <v>-1</v>
      </c>
      <c r="F48" s="55">
        <v>-1</v>
      </c>
      <c r="G48" s="55">
        <v>-1</v>
      </c>
      <c r="H48" s="55">
        <v>-1</v>
      </c>
      <c r="J48" s="34">
        <v>5</v>
      </c>
    </row>
    <row r="49" spans="1:10">
      <c r="A49" s="60" t="s">
        <v>289</v>
      </c>
      <c r="B49" s="61" t="s">
        <v>559</v>
      </c>
      <c r="C49" s="37">
        <v>0.05</v>
      </c>
      <c r="D49" s="47" t="s">
        <v>246</v>
      </c>
      <c r="E49" s="47">
        <v>1.7999999999999999E-2</v>
      </c>
      <c r="F49" s="54">
        <v>0</v>
      </c>
      <c r="G49" s="54">
        <v>0</v>
      </c>
      <c r="H49" s="54">
        <v>0</v>
      </c>
    </row>
    <row r="50" spans="1:10">
      <c r="A50" s="60" t="s">
        <v>355</v>
      </c>
      <c r="B50" s="61" t="s">
        <v>288</v>
      </c>
      <c r="C50" s="48">
        <f>0.2*0+0.8*C52</f>
        <v>-0.64000000000000012</v>
      </c>
      <c r="D50" s="48">
        <f>0.2*0+0.8*D52</f>
        <v>-0.64000000000000012</v>
      </c>
      <c r="E50" s="48">
        <f>0.2*0+0.8*E52</f>
        <v>-0.60000000000000009</v>
      </c>
      <c r="F50" s="54">
        <v>0</v>
      </c>
      <c r="G50" s="54">
        <v>0</v>
      </c>
      <c r="H50" s="54">
        <v>0</v>
      </c>
    </row>
    <row r="51" spans="1:10">
      <c r="A51" s="46" t="s">
        <v>237</v>
      </c>
      <c r="B51" s="47" t="s">
        <v>288</v>
      </c>
      <c r="C51" s="48">
        <v>0</v>
      </c>
      <c r="D51" s="48">
        <v>0</v>
      </c>
      <c r="E51" s="48">
        <v>0</v>
      </c>
      <c r="F51" s="55">
        <v>0</v>
      </c>
      <c r="G51" s="55">
        <v>0</v>
      </c>
      <c r="H51" s="55">
        <v>0</v>
      </c>
      <c r="J51" s="34">
        <v>1</v>
      </c>
    </row>
    <row r="52" spans="1:10">
      <c r="A52" s="46" t="s">
        <v>236</v>
      </c>
      <c r="B52" s="47" t="str">
        <f t="shared" si="2"/>
        <v>Offenes Lager</v>
      </c>
      <c r="C52" s="48">
        <v>-0.8</v>
      </c>
      <c r="D52" s="48">
        <v>-0.8</v>
      </c>
      <c r="E52" s="48">
        <v>-0.75</v>
      </c>
      <c r="F52" s="55">
        <v>0</v>
      </c>
      <c r="G52" s="55">
        <v>0</v>
      </c>
      <c r="H52" s="55">
        <v>0</v>
      </c>
      <c r="J52" s="34">
        <v>2</v>
      </c>
    </row>
    <row r="53" spans="1:10">
      <c r="A53" s="46" t="s">
        <v>238</v>
      </c>
      <c r="B53" s="47" t="str">
        <f t="shared" si="2"/>
        <v>Offenes Lager</v>
      </c>
      <c r="C53" s="48">
        <v>-0.8</v>
      </c>
      <c r="D53" s="48">
        <v>-0.9</v>
      </c>
      <c r="E53" s="48">
        <v>-0.75</v>
      </c>
      <c r="F53" s="55">
        <v>0</v>
      </c>
      <c r="G53" s="55">
        <v>0</v>
      </c>
      <c r="H53" s="55">
        <v>0</v>
      </c>
      <c r="J53" s="34">
        <v>3</v>
      </c>
    </row>
    <row r="54" spans="1:10">
      <c r="F54" s="56"/>
      <c r="G54" s="56"/>
      <c r="H54" s="56"/>
    </row>
    <row r="55" spans="1:10" outlineLevel="1">
      <c r="A55" s="34">
        <f>name</f>
        <v>0</v>
      </c>
      <c r="C55" s="52"/>
      <c r="D55" s="52"/>
      <c r="E55" s="52"/>
      <c r="F55" s="57"/>
      <c r="G55" s="57"/>
      <c r="H55" s="57"/>
    </row>
    <row r="56" spans="1:10" ht="12.75" outlineLevel="1">
      <c r="A56" s="40" t="s">
        <v>248</v>
      </c>
      <c r="C56" s="62" t="e">
        <f t="array" ref="C56">SUM(IF(EXACT($J44:$J48,Auswahl_Behandlung_fest),FaktorenBG!C44:C48))</f>
        <v>#N/A</v>
      </c>
      <c r="D56" s="62" t="e">
        <f t="array" ref="D56">SUM(IF(EXACT($J44:$J48,Auswahl_Behandlung_fest),FaktorenBG!D44:D48))</f>
        <v>#N/A</v>
      </c>
      <c r="E56" s="62" t="e">
        <f t="array" ref="E56">SUM(IF(EXACT($J44:$J48,Auswahl_Behandlung_fest),FaktorenBG!E44:E48))</f>
        <v>#N/A</v>
      </c>
      <c r="F56" s="62" t="e">
        <f t="array" ref="F56">SUM(IF(EXACT($J44:$J48,Auswahl_Behandlung_fest),FaktorenBG!F44:F48))</f>
        <v>#N/A</v>
      </c>
      <c r="G56" s="62" t="e">
        <f t="array" ref="G56">SUM(IF(EXACT($J44:$J48,Auswahl_Behandlung_fest),FaktorenBG!G44:G48))</f>
        <v>#N/A</v>
      </c>
      <c r="H56" s="62" t="e">
        <f t="array" ref="H56">SUM(IF(EXACT($J44:$J48,Auswahl_Behandlung_fest),FaktorenBG!H44:H48))</f>
        <v>#N/A</v>
      </c>
    </row>
    <row r="57" spans="1:10" ht="12.75" outlineLevel="1">
      <c r="A57" s="40" t="s">
        <v>249</v>
      </c>
      <c r="C57" s="62" t="e">
        <f t="array" ref="C57">SUM(IF(EXACT($J51:$J53,Auswahl_Behandlung_flüssig),FaktorenBG!C51:C53))</f>
        <v>#N/A</v>
      </c>
      <c r="D57" s="62" t="e">
        <f t="array" ref="D57">SUM(IF(EXACT($J51:$J53,Auswahl_Behandlung_flüssig),FaktorenBG!D51:D53))</f>
        <v>#N/A</v>
      </c>
      <c r="E57" s="62" t="e">
        <f t="array" ref="E57">SUM(IF(EXACT($J51:$J53,Auswahl_Behandlung_flüssig),FaktorenBG!E51:E53))</f>
        <v>#N/A</v>
      </c>
      <c r="F57" s="62" t="e">
        <f t="array" ref="F57">SUM(IF(EXACT($J51:$J53,Auswahl_Behandlung_flüssig),FaktorenBG!F51:F53))</f>
        <v>#N/A</v>
      </c>
      <c r="G57" s="62" t="e">
        <f t="array" ref="G57">SUM(IF(EXACT($J51:$J53,Auswahl_Behandlung_flüssig),FaktorenBG!G51:G53))</f>
        <v>#N/A</v>
      </c>
      <c r="H57" s="62" t="e">
        <f t="array" ref="H57">SUM(IF(EXACT($J51:$J53,Auswahl_Behandlung_flüssig),FaktorenBG!H51:H53))</f>
        <v>#N/A</v>
      </c>
    </row>
    <row r="58" spans="1:10">
      <c r="F58" s="56"/>
      <c r="G58" s="56"/>
      <c r="H58" s="56"/>
    </row>
    <row r="59" spans="1:10">
      <c r="A59" s="44" t="s">
        <v>244</v>
      </c>
      <c r="B59" s="45" t="str">
        <f t="shared" ref="B59:H59" si="3">B42</f>
        <v>Referenz</v>
      </c>
      <c r="C59" s="45" t="str">
        <f t="shared" si="3"/>
        <v>CH4</v>
      </c>
      <c r="D59" s="45" t="str">
        <f t="shared" si="3"/>
        <v>NH3</v>
      </c>
      <c r="E59" s="45" t="str">
        <f t="shared" si="3"/>
        <v>N2O</v>
      </c>
      <c r="F59" s="53" t="str">
        <f t="shared" si="3"/>
        <v>H2S</v>
      </c>
      <c r="G59" s="53" t="str">
        <f t="shared" si="3"/>
        <v>NMVOC</v>
      </c>
      <c r="H59" s="53" t="str">
        <f t="shared" si="3"/>
        <v>NOx</v>
      </c>
    </row>
    <row r="60" spans="1:10">
      <c r="A60" s="60" t="s">
        <v>290</v>
      </c>
      <c r="B60" s="47" t="s">
        <v>245</v>
      </c>
      <c r="C60" s="47">
        <v>0</v>
      </c>
      <c r="D60" s="47" t="s">
        <v>246</v>
      </c>
      <c r="E60" s="47">
        <v>0</v>
      </c>
      <c r="F60" s="54"/>
      <c r="G60" s="54"/>
      <c r="H60" s="54"/>
    </row>
    <row r="61" spans="1:10">
      <c r="A61" s="46" t="str">
        <f>menuesBG!F75</f>
        <v>Agriculture, liquid manure barrel</v>
      </c>
      <c r="B61" s="47" t="s">
        <v>247</v>
      </c>
      <c r="C61" s="48">
        <v>0</v>
      </c>
      <c r="D61" s="48">
        <v>0.15</v>
      </c>
      <c r="E61" s="48">
        <v>0</v>
      </c>
      <c r="F61" s="55">
        <v>0</v>
      </c>
      <c r="G61" s="55">
        <v>0</v>
      </c>
      <c r="H61" s="55">
        <v>0</v>
      </c>
      <c r="J61" s="34">
        <v>1</v>
      </c>
    </row>
    <row r="62" spans="1:10">
      <c r="A62" s="46" t="str">
        <f>menuesBG!F76</f>
        <v>Agriculture, drag hose</v>
      </c>
      <c r="B62" s="47" t="s">
        <v>247</v>
      </c>
      <c r="C62" s="48">
        <v>0</v>
      </c>
      <c r="D62" s="48">
        <v>-0.4</v>
      </c>
      <c r="E62" s="48">
        <v>0</v>
      </c>
      <c r="F62" s="55">
        <v>0</v>
      </c>
      <c r="G62" s="55">
        <v>0</v>
      </c>
      <c r="H62" s="55">
        <v>0</v>
      </c>
      <c r="J62" s="34">
        <v>2</v>
      </c>
    </row>
    <row r="63" spans="1:10">
      <c r="A63" s="46" t="str">
        <f>menuesBG!F77</f>
        <v>Agriculture, Injection, Towing shoe</v>
      </c>
      <c r="B63" s="47" t="s">
        <v>247</v>
      </c>
      <c r="C63" s="48">
        <v>0</v>
      </c>
      <c r="D63" s="48">
        <v>-0.7</v>
      </c>
      <c r="E63" s="48">
        <v>1</v>
      </c>
      <c r="F63" s="55">
        <v>0</v>
      </c>
      <c r="G63" s="55">
        <v>0</v>
      </c>
      <c r="H63" s="55">
        <v>0</v>
      </c>
      <c r="J63" s="34">
        <v>3</v>
      </c>
    </row>
    <row r="64" spans="1:10">
      <c r="A64" s="46" t="str">
        <f>menuesBG!F78</f>
        <v>Agriculture, Injection, Cultan (Vaccination)</v>
      </c>
      <c r="B64" s="47" t="s">
        <v>247</v>
      </c>
      <c r="C64" s="48">
        <v>0</v>
      </c>
      <c r="D64" s="48">
        <v>-0.7</v>
      </c>
      <c r="E64" s="48">
        <v>1</v>
      </c>
      <c r="F64" s="55">
        <v>0</v>
      </c>
      <c r="G64" s="55">
        <v>0</v>
      </c>
      <c r="H64" s="55">
        <v>0</v>
      </c>
      <c r="J64" s="34">
        <v>4</v>
      </c>
    </row>
    <row r="65" spans="1:10">
      <c r="A65" s="60" t="s">
        <v>291</v>
      </c>
      <c r="B65" s="47"/>
      <c r="C65" s="48"/>
      <c r="D65" s="48"/>
      <c r="E65" s="48"/>
      <c r="F65" s="55"/>
      <c r="G65" s="55"/>
      <c r="H65" s="55"/>
    </row>
    <row r="66" spans="1:10">
      <c r="A66" s="46" t="str">
        <f>menuesBG!F95</f>
        <v>Compost, Horticulture</v>
      </c>
      <c r="B66" s="47" t="s">
        <v>194</v>
      </c>
      <c r="C66" s="48">
        <v>0</v>
      </c>
      <c r="D66" s="48">
        <v>0</v>
      </c>
      <c r="E66" s="48">
        <v>0</v>
      </c>
      <c r="F66" s="55">
        <v>0</v>
      </c>
      <c r="G66" s="55">
        <v>0</v>
      </c>
      <c r="H66" s="55">
        <v>0</v>
      </c>
      <c r="J66" s="34">
        <v>1</v>
      </c>
    </row>
    <row r="67" spans="1:10">
      <c r="A67" s="46" t="str">
        <f>menuesBG!F96</f>
        <v>Agriculture, dung tetter</v>
      </c>
      <c r="B67" s="47" t="s">
        <v>194</v>
      </c>
      <c r="C67" s="48">
        <v>0</v>
      </c>
      <c r="D67" s="48">
        <v>0</v>
      </c>
      <c r="E67" s="48">
        <v>0</v>
      </c>
      <c r="F67" s="55">
        <v>0</v>
      </c>
      <c r="G67" s="55">
        <v>0</v>
      </c>
      <c r="H67" s="55">
        <v>0</v>
      </c>
      <c r="J67" s="34">
        <v>2</v>
      </c>
    </row>
    <row r="68" spans="1:10">
      <c r="A68" s="46" t="str">
        <f>menuesBG!F97</f>
        <v>Incineration, cement kiln, 92% DM</v>
      </c>
      <c r="B68" s="47" t="s">
        <v>194</v>
      </c>
      <c r="C68" s="48">
        <v>-1</v>
      </c>
      <c r="D68" s="48">
        <v>-1</v>
      </c>
      <c r="E68" s="48">
        <v>-1</v>
      </c>
      <c r="F68" s="55">
        <v>-1</v>
      </c>
      <c r="G68" s="55">
        <v>-1</v>
      </c>
      <c r="H68" s="55">
        <v>-1</v>
      </c>
      <c r="J68" s="34">
        <v>3</v>
      </c>
    </row>
    <row r="69" spans="1:10">
      <c r="A69" s="46" t="str">
        <f>menuesBG!F98</f>
        <v>Combustion, municipal waste incineration, 27% DM</v>
      </c>
      <c r="B69" s="47" t="s">
        <v>194</v>
      </c>
      <c r="C69" s="48">
        <v>-1</v>
      </c>
      <c r="D69" s="48">
        <v>-1</v>
      </c>
      <c r="E69" s="48">
        <v>-1</v>
      </c>
      <c r="F69" s="55">
        <v>-1</v>
      </c>
      <c r="G69" s="55">
        <v>-1</v>
      </c>
      <c r="H69" s="55">
        <v>-1</v>
      </c>
      <c r="J69" s="34">
        <v>4</v>
      </c>
    </row>
    <row r="71" spans="1:10">
      <c r="A71" s="34">
        <f>name</f>
        <v>0</v>
      </c>
      <c r="C71" s="52"/>
      <c r="D71" s="52"/>
      <c r="E71" s="52"/>
      <c r="F71" s="52"/>
      <c r="G71" s="52"/>
      <c r="H71" s="52"/>
    </row>
    <row r="72" spans="1:10" ht="12.75">
      <c r="A72" s="40" t="str">
        <f>A60</f>
        <v>Referenz, flüssig</v>
      </c>
      <c r="C72" s="62" t="e">
        <f t="array" ref="C72">SUM(IF(EXACT($J61:$J64,Auswahl_Verwendung_flüssig),FaktorenBG!C61:C64))</f>
        <v>#N/A</v>
      </c>
      <c r="D72" s="62" t="e">
        <f t="array" ref="D72">SUM(IF(EXACT($J61:$J64,Auswahl_Verwendung_flüssig),FaktorenBG!D61:D64))</f>
        <v>#N/A</v>
      </c>
      <c r="E72" s="62" t="e">
        <f t="array" ref="E72">SUM(IF(EXACT($J61:$J64,Auswahl_Verwendung_flüssig),FaktorenBG!E61:E64))</f>
        <v>#N/A</v>
      </c>
      <c r="F72" s="62" t="e">
        <f t="array" ref="F72">SUM(IF(EXACT($J61:$J64,Auswahl_Verwendung_flüssig),FaktorenBG!F61:F64))</f>
        <v>#N/A</v>
      </c>
      <c r="G72" s="62" t="e">
        <f t="array" ref="G72">SUM(IF(EXACT($J61:$J64,Auswahl_Verwendung_flüssig),FaktorenBG!G61:G64))</f>
        <v>#N/A</v>
      </c>
      <c r="H72" s="62" t="e">
        <f t="array" ref="H72">SUM(IF(EXACT($J61:$J64,Auswahl_Verwendung_flüssig),FaktorenBG!H61:H64))</f>
        <v>#N/A</v>
      </c>
      <c r="J72" s="34" t="e">
        <f>Auswahl_Verwendung_flüssig</f>
        <v>#N/A</v>
      </c>
    </row>
    <row r="73" spans="1:10" ht="12.75">
      <c r="A73" s="40" t="str">
        <f>A65</f>
        <v>Referenz, fest</v>
      </c>
      <c r="C73" s="62" t="e">
        <f t="array" ref="C73">SUM(IF(EXACT($J66:$J69,Auswahl_Verwendung_fest),FaktorenBG!C66:C69))</f>
        <v>#N/A</v>
      </c>
      <c r="D73" s="62" t="e">
        <f t="array" ref="D73">SUM(IF(EXACT($J66:$J69,Auswahl_Verwendung_fest),FaktorenBG!D66:D69))</f>
        <v>#N/A</v>
      </c>
      <c r="E73" s="62" t="e">
        <f t="array" ref="E73">SUM(IF(EXACT($J66:$J69,Auswahl_Verwendung_fest),FaktorenBG!E66:E69))</f>
        <v>#N/A</v>
      </c>
      <c r="F73" s="62" t="e">
        <f t="array" ref="F73">SUM(IF(EXACT($J66:$J69,Auswahl_Verwendung_fest),FaktorenBG!F66:F69))</f>
        <v>#N/A</v>
      </c>
      <c r="G73" s="62" t="e">
        <f t="array" ref="G73">SUM(IF(EXACT($J66:$J69,Auswahl_Verwendung_fest),FaktorenBG!G66:G69))</f>
        <v>#N/A</v>
      </c>
      <c r="H73" s="62" t="e">
        <f t="array" ref="H73">SUM(IF(EXACT($J66:$J69,Auswahl_Verwendung_fest),FaktorenBG!H66:H69))</f>
        <v>#N/A</v>
      </c>
      <c r="J73" s="34" t="e">
        <f>Auswahl_Verwendung_fest</f>
        <v>#N/A</v>
      </c>
    </row>
    <row r="74" spans="1:10">
      <c r="A74" s="39"/>
      <c r="B74" s="39"/>
      <c r="C74" s="39"/>
    </row>
    <row r="75" spans="1:10">
      <c r="A75" s="29" t="s">
        <v>196</v>
      </c>
      <c r="B75" s="30" t="s">
        <v>197</v>
      </c>
      <c r="C75" s="41" t="s">
        <v>198</v>
      </c>
      <c r="D75" s="42">
        <f>0.075*0.85</f>
        <v>6.3750000000000001E-2</v>
      </c>
      <c r="E75" s="42">
        <f>0.075*0.15</f>
        <v>1.125E-2</v>
      </c>
      <c r="F75" s="29"/>
      <c r="G75" s="29"/>
      <c r="H75" s="29"/>
      <c r="I75" s="29" t="s">
        <v>192</v>
      </c>
    </row>
    <row r="76" spans="1:10">
      <c r="A76" s="29" t="s">
        <v>89</v>
      </c>
      <c r="B76" s="30" t="s">
        <v>199</v>
      </c>
      <c r="C76" s="28" t="s">
        <v>200</v>
      </c>
      <c r="D76" s="29" t="s">
        <v>201</v>
      </c>
      <c r="E76" s="29">
        <v>1.7999999999999999E-2</v>
      </c>
      <c r="F76" s="29"/>
      <c r="G76" s="29"/>
      <c r="H76" s="29"/>
      <c r="I76" s="29" t="s">
        <v>189</v>
      </c>
    </row>
    <row r="77" spans="1:10">
      <c r="A77" s="29"/>
      <c r="B77" s="29"/>
      <c r="C77" s="29"/>
      <c r="D77" s="29"/>
      <c r="E77" s="29"/>
      <c r="F77" s="29"/>
      <c r="G77" s="29"/>
      <c r="H77" s="29"/>
      <c r="I77" s="29"/>
    </row>
    <row r="79" spans="1:10">
      <c r="A79" s="34" t="s">
        <v>1685</v>
      </c>
      <c r="B79" s="34">
        <v>4.2</v>
      </c>
      <c r="C79" s="34">
        <f>0.2288/0.0538</f>
        <v>4.2527881040892197</v>
      </c>
    </row>
  </sheetData>
  <phoneticPr fontId="24" type="noConversion"/>
  <pageMargins left="0.78740157499999996" right="0.78740157499999996" top="0.984251969" bottom="0.984251969" header="0.4921259845" footer="0.4921259845"/>
  <pageSetup paperSize="9" scale="53" orientation="landscape" r:id="rId1"/>
  <headerFooter alignWithMargins="0"/>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157"/>
  <sheetViews>
    <sheetView workbookViewId="0"/>
  </sheetViews>
  <sheetFormatPr baseColWidth="10" defaultRowHeight="12.75"/>
  <cols>
    <col min="1" max="1" width="28.28515625" bestFit="1" customWidth="1"/>
    <col min="2" max="2" width="8.7109375" customWidth="1"/>
    <col min="8" max="9" width="12.28515625" bestFit="1" customWidth="1"/>
  </cols>
  <sheetData>
    <row r="1" spans="1:11">
      <c r="A1" t="s">
        <v>1061</v>
      </c>
      <c r="B1" s="389" t="s">
        <v>863</v>
      </c>
      <c r="C1" s="389" t="s">
        <v>863</v>
      </c>
      <c r="D1" s="389" t="s">
        <v>863</v>
      </c>
      <c r="E1" s="389" t="s">
        <v>863</v>
      </c>
      <c r="F1" s="389" t="s">
        <v>1065</v>
      </c>
      <c r="G1" s="389" t="s">
        <v>1065</v>
      </c>
      <c r="H1" s="389" t="s">
        <v>1065</v>
      </c>
      <c r="I1" s="389" t="s">
        <v>1065</v>
      </c>
      <c r="J1" s="389" t="s">
        <v>1065</v>
      </c>
      <c r="K1" s="389" t="s">
        <v>1077</v>
      </c>
    </row>
    <row r="2" spans="1:11">
      <c r="B2" s="389" t="s">
        <v>892</v>
      </c>
      <c r="C2" s="389" t="s">
        <v>892</v>
      </c>
      <c r="D2" s="389" t="s">
        <v>892</v>
      </c>
      <c r="E2" s="389" t="s">
        <v>892</v>
      </c>
      <c r="F2" s="389" t="s">
        <v>1066</v>
      </c>
      <c r="G2" s="389" t="s">
        <v>1066</v>
      </c>
      <c r="H2" s="389" t="s">
        <v>1066</v>
      </c>
      <c r="I2" s="389" t="s">
        <v>1066</v>
      </c>
      <c r="J2" s="389" t="s">
        <v>1066</v>
      </c>
      <c r="K2" s="389" t="s">
        <v>1066</v>
      </c>
    </row>
    <row r="3" spans="1:11">
      <c r="A3" t="s">
        <v>1074</v>
      </c>
      <c r="B3" s="389">
        <v>2007</v>
      </c>
      <c r="C3" s="389">
        <v>2009</v>
      </c>
      <c r="D3" s="389">
        <v>2011</v>
      </c>
      <c r="E3" s="389">
        <v>2018</v>
      </c>
      <c r="F3" s="389">
        <v>2013</v>
      </c>
      <c r="G3" s="389">
        <v>2017</v>
      </c>
      <c r="H3" s="391">
        <v>43070</v>
      </c>
      <c r="I3" s="391">
        <v>42979</v>
      </c>
      <c r="J3" s="389">
        <v>2018</v>
      </c>
      <c r="K3" s="389">
        <v>2018</v>
      </c>
    </row>
    <row r="4" spans="1:11">
      <c r="A4" t="s">
        <v>1067</v>
      </c>
      <c r="B4" s="389"/>
      <c r="C4" s="389" t="s">
        <v>1064</v>
      </c>
      <c r="D4" s="389"/>
      <c r="E4" s="389" t="s">
        <v>1073</v>
      </c>
      <c r="F4" s="389"/>
      <c r="G4" s="389">
        <v>200</v>
      </c>
      <c r="H4" s="389" t="s">
        <v>1081</v>
      </c>
      <c r="I4" s="389" t="s">
        <v>1082</v>
      </c>
      <c r="J4" s="389">
        <v>175</v>
      </c>
      <c r="K4" s="389">
        <v>210</v>
      </c>
    </row>
    <row r="5" spans="1:11">
      <c r="A5" t="s">
        <v>1069</v>
      </c>
      <c r="B5" s="389">
        <v>138</v>
      </c>
      <c r="C5" s="389">
        <v>160</v>
      </c>
      <c r="D5" s="389">
        <v>208</v>
      </c>
      <c r="E5" s="389"/>
      <c r="F5" s="389">
        <v>300</v>
      </c>
      <c r="G5" s="389">
        <v>475</v>
      </c>
      <c r="H5" s="389" t="s">
        <v>1070</v>
      </c>
      <c r="I5" s="389" t="s">
        <v>1072</v>
      </c>
      <c r="J5" s="389">
        <v>350</v>
      </c>
      <c r="K5" s="389"/>
    </row>
    <row r="6" spans="1:11">
      <c r="A6" t="s">
        <v>1068</v>
      </c>
      <c r="B6" s="389"/>
      <c r="C6" s="389">
        <v>375</v>
      </c>
      <c r="D6" s="389"/>
      <c r="E6" s="389"/>
      <c r="F6" s="389">
        <v>700</v>
      </c>
      <c r="G6" s="389">
        <v>800</v>
      </c>
      <c r="H6" s="389"/>
      <c r="I6" s="389"/>
      <c r="J6" s="389">
        <v>600</v>
      </c>
      <c r="K6" s="389"/>
    </row>
    <row r="7" spans="1:11">
      <c r="A7" t="s">
        <v>1071</v>
      </c>
      <c r="B7" s="389"/>
      <c r="C7" s="389"/>
      <c r="D7" s="389"/>
      <c r="E7" s="389"/>
      <c r="F7" s="389"/>
      <c r="G7" s="389"/>
      <c r="H7" s="389">
        <v>40</v>
      </c>
      <c r="I7" s="389">
        <v>40</v>
      </c>
      <c r="J7" s="389"/>
      <c r="K7" s="389"/>
    </row>
    <row r="8" spans="1:11" ht="38.25">
      <c r="B8" s="390" t="s">
        <v>1075</v>
      </c>
      <c r="C8" s="390" t="s">
        <v>1062</v>
      </c>
      <c r="D8" s="390" t="s">
        <v>1076</v>
      </c>
      <c r="E8" s="390" t="s">
        <v>1078</v>
      </c>
      <c r="F8" s="390" t="s">
        <v>1078</v>
      </c>
      <c r="G8" s="390" t="s">
        <v>1080</v>
      </c>
      <c r="H8" s="390" t="s">
        <v>1079</v>
      </c>
      <c r="I8" s="390" t="s">
        <v>1079</v>
      </c>
      <c r="J8" s="390" t="s">
        <v>1080</v>
      </c>
    </row>
    <row r="9" spans="1:11">
      <c r="C9" s="388" t="s">
        <v>1063</v>
      </c>
      <c r="D9" s="388"/>
      <c r="E9" s="388"/>
      <c r="F9" s="388"/>
    </row>
    <row r="16" spans="1:11">
      <c r="B16" t="s">
        <v>1083</v>
      </c>
    </row>
    <row r="45" spans="2:9">
      <c r="B45" t="s">
        <v>1084</v>
      </c>
      <c r="I45" t="s">
        <v>1085</v>
      </c>
    </row>
    <row r="103" spans="1:2">
      <c r="A103" t="s">
        <v>570</v>
      </c>
      <c r="B103" t="s">
        <v>571</v>
      </c>
    </row>
    <row r="104" spans="1:2">
      <c r="A104" t="s">
        <v>572</v>
      </c>
      <c r="B104" t="s">
        <v>573</v>
      </c>
    </row>
    <row r="105" spans="1:2">
      <c r="A105" t="s">
        <v>574</v>
      </c>
      <c r="B105" t="s">
        <v>1109</v>
      </c>
    </row>
    <row r="106" spans="1:2">
      <c r="A106" t="s">
        <v>575</v>
      </c>
      <c r="B106" t="s">
        <v>1102</v>
      </c>
    </row>
    <row r="107" spans="1:2">
      <c r="A107" t="s">
        <v>576</v>
      </c>
      <c r="B107" t="s">
        <v>1110</v>
      </c>
    </row>
    <row r="108" spans="1:2">
      <c r="A108" t="s">
        <v>577</v>
      </c>
      <c r="B108" t="s">
        <v>1111</v>
      </c>
    </row>
    <row r="109" spans="1:2">
      <c r="A109" t="s">
        <v>578</v>
      </c>
      <c r="B109" t="s">
        <v>1094</v>
      </c>
    </row>
    <row r="110" spans="1:2">
      <c r="A110" t="s">
        <v>579</v>
      </c>
      <c r="B110" t="s">
        <v>1021</v>
      </c>
    </row>
    <row r="111" spans="1:2">
      <c r="A111" t="s">
        <v>580</v>
      </c>
      <c r="B111" t="s">
        <v>1112</v>
      </c>
    </row>
    <row r="112" spans="1:2">
      <c r="A112" t="s">
        <v>581</v>
      </c>
      <c r="B112" t="s">
        <v>1113</v>
      </c>
    </row>
    <row r="113" spans="1:2">
      <c r="A113" t="s">
        <v>582</v>
      </c>
      <c r="B113" t="s">
        <v>1114</v>
      </c>
    </row>
    <row r="114" spans="1:2">
      <c r="A114" t="s">
        <v>583</v>
      </c>
      <c r="B114" t="s">
        <v>1115</v>
      </c>
    </row>
    <row r="115" spans="1:2">
      <c r="A115" t="s">
        <v>584</v>
      </c>
      <c r="B115" t="s">
        <v>1116</v>
      </c>
    </row>
    <row r="116" spans="1:2">
      <c r="A116" t="s">
        <v>585</v>
      </c>
      <c r="B116" t="s">
        <v>1117</v>
      </c>
    </row>
    <row r="117" spans="1:2">
      <c r="A117" t="s">
        <v>586</v>
      </c>
      <c r="B117" t="s">
        <v>1118</v>
      </c>
    </row>
    <row r="118" spans="1:2">
      <c r="A118" t="s">
        <v>587</v>
      </c>
      <c r="B118" t="s">
        <v>1119</v>
      </c>
    </row>
    <row r="119" spans="1:2">
      <c r="A119" t="s">
        <v>588</v>
      </c>
      <c r="B119" t="s">
        <v>1120</v>
      </c>
    </row>
    <row r="120" spans="1:2">
      <c r="A120" t="s">
        <v>589</v>
      </c>
      <c r="B120" t="s">
        <v>1121</v>
      </c>
    </row>
    <row r="121" spans="1:2">
      <c r="A121" t="s">
        <v>590</v>
      </c>
      <c r="B121" t="s">
        <v>1122</v>
      </c>
    </row>
    <row r="122" spans="1:2">
      <c r="A122" t="s">
        <v>591</v>
      </c>
      <c r="B122" t="s">
        <v>1123</v>
      </c>
    </row>
    <row r="123" spans="1:2">
      <c r="A123" t="s">
        <v>592</v>
      </c>
      <c r="B123" t="s">
        <v>1124</v>
      </c>
    </row>
    <row r="124" spans="1:2">
      <c r="A124" t="s">
        <v>593</v>
      </c>
      <c r="B124" t="s">
        <v>1125</v>
      </c>
    </row>
    <row r="125" spans="1:2">
      <c r="A125" t="s">
        <v>620</v>
      </c>
      <c r="B125" t="s">
        <v>1126</v>
      </c>
    </row>
    <row r="126" spans="1:2">
      <c r="A126" t="s">
        <v>622</v>
      </c>
      <c r="B126" t="s">
        <v>1127</v>
      </c>
    </row>
    <row r="127" spans="1:2">
      <c r="A127" t="s">
        <v>623</v>
      </c>
      <c r="B127" t="s">
        <v>1128</v>
      </c>
    </row>
    <row r="128" spans="1:2">
      <c r="A128" t="s">
        <v>625</v>
      </c>
      <c r="B128" t="s">
        <v>1093</v>
      </c>
    </row>
    <row r="129" spans="1:30">
      <c r="A129" t="s">
        <v>917</v>
      </c>
      <c r="B129" t="s">
        <v>1095</v>
      </c>
    </row>
    <row r="130" spans="1:30">
      <c r="A130" t="s">
        <v>950</v>
      </c>
      <c r="B130" t="s">
        <v>1096</v>
      </c>
    </row>
    <row r="131" spans="1:30">
      <c r="A131" t="s">
        <v>972</v>
      </c>
      <c r="B131" t="s">
        <v>1092</v>
      </c>
    </row>
    <row r="132" spans="1:30">
      <c r="A132" t="s">
        <v>1129</v>
      </c>
      <c r="B132" t="s">
        <v>1130</v>
      </c>
    </row>
    <row r="133" spans="1:30">
      <c r="A133" t="s">
        <v>523</v>
      </c>
      <c r="B133" t="s">
        <v>919</v>
      </c>
    </row>
    <row r="134" spans="1:30">
      <c r="A134" t="s">
        <v>524</v>
      </c>
      <c r="B134" t="s">
        <v>525</v>
      </c>
    </row>
    <row r="135" spans="1:30">
      <c r="A135" t="s">
        <v>526</v>
      </c>
      <c r="B135" t="s">
        <v>657</v>
      </c>
    </row>
    <row r="136" spans="1:30">
      <c r="A136" t="s">
        <v>923</v>
      </c>
      <c r="B136" t="s">
        <v>530</v>
      </c>
    </row>
    <row r="137" spans="1:30">
      <c r="A137" t="s">
        <v>527</v>
      </c>
      <c r="B137" t="s">
        <v>528</v>
      </c>
    </row>
    <row r="138" spans="1:30">
      <c r="A138" t="s">
        <v>529</v>
      </c>
      <c r="B138" t="s">
        <v>530</v>
      </c>
    </row>
    <row r="139" spans="1:30">
      <c r="A139" t="s">
        <v>531</v>
      </c>
      <c r="B139" t="s">
        <v>530</v>
      </c>
    </row>
    <row r="140" spans="1:30">
      <c r="A140" t="s">
        <v>596</v>
      </c>
      <c r="B140" t="s">
        <v>537</v>
      </c>
    </row>
    <row r="141" spans="1:30">
      <c r="A141" t="s">
        <v>597</v>
      </c>
      <c r="B141" t="s">
        <v>598</v>
      </c>
    </row>
    <row r="143" spans="1:30">
      <c r="A143" t="s">
        <v>537</v>
      </c>
      <c r="B143" t="s">
        <v>533</v>
      </c>
      <c r="C143" t="s">
        <v>1131</v>
      </c>
      <c r="D143" t="s">
        <v>1103</v>
      </c>
      <c r="E143" t="s">
        <v>1132</v>
      </c>
      <c r="F143" t="s">
        <v>1133</v>
      </c>
      <c r="G143" t="s">
        <v>1099</v>
      </c>
      <c r="H143" t="s">
        <v>1038</v>
      </c>
      <c r="I143" t="s">
        <v>1134</v>
      </c>
      <c r="J143" t="s">
        <v>1135</v>
      </c>
      <c r="K143" t="s">
        <v>1136</v>
      </c>
      <c r="L143" t="s">
        <v>1137</v>
      </c>
      <c r="M143" t="s">
        <v>1138</v>
      </c>
      <c r="N143" t="s">
        <v>1139</v>
      </c>
      <c r="O143" t="s">
        <v>1140</v>
      </c>
      <c r="P143" t="s">
        <v>1141</v>
      </c>
      <c r="Q143" t="s">
        <v>1142</v>
      </c>
      <c r="R143" t="s">
        <v>1143</v>
      </c>
      <c r="S143" t="s">
        <v>1144</v>
      </c>
      <c r="T143" t="s">
        <v>1145</v>
      </c>
      <c r="U143" t="s">
        <v>1146</v>
      </c>
      <c r="V143" t="s">
        <v>1147</v>
      </c>
      <c r="W143" t="s">
        <v>1148</v>
      </c>
      <c r="X143" t="s">
        <v>1149</v>
      </c>
      <c r="Y143" t="s">
        <v>1150</v>
      </c>
      <c r="Z143" t="s">
        <v>1098</v>
      </c>
      <c r="AA143" t="s">
        <v>1100</v>
      </c>
      <c r="AB143" t="s">
        <v>1101</v>
      </c>
      <c r="AC143" t="s">
        <v>1097</v>
      </c>
      <c r="AD143" t="s">
        <v>1151</v>
      </c>
    </row>
    <row r="144" spans="1:30">
      <c r="A144" t="s">
        <v>35</v>
      </c>
      <c r="B144" t="s">
        <v>2</v>
      </c>
      <c r="C144">
        <v>7.7759752999999997E-3</v>
      </c>
      <c r="D144">
        <v>7.7537600999999998E-3</v>
      </c>
      <c r="E144">
        <v>0.49549662</v>
      </c>
      <c r="F144">
        <v>1.2802479</v>
      </c>
      <c r="G144">
        <v>0.46504107</v>
      </c>
      <c r="H144">
        <v>0.13208132</v>
      </c>
      <c r="I144">
        <v>0.61757962</v>
      </c>
      <c r="J144">
        <v>0.38632185000000002</v>
      </c>
      <c r="K144">
        <v>0.51514590999999998</v>
      </c>
      <c r="L144">
        <v>3.5880545E-2</v>
      </c>
      <c r="M144">
        <v>0.42094882</v>
      </c>
      <c r="N144">
        <v>-5.1063127000000001</v>
      </c>
      <c r="O144">
        <v>-3.3695081</v>
      </c>
      <c r="P144">
        <v>0.27669878999999997</v>
      </c>
      <c r="Q144">
        <v>0.41363914000000002</v>
      </c>
      <c r="R144">
        <v>0.27622284000000003</v>
      </c>
      <c r="S144">
        <v>3.7352248999999997E-2</v>
      </c>
      <c r="T144">
        <v>-2.6973079000000002</v>
      </c>
      <c r="U144">
        <v>3.4526999000000003E-2</v>
      </c>
      <c r="V144">
        <v>-3.3694001999999998</v>
      </c>
      <c r="W144">
        <v>-4.3585387999999998</v>
      </c>
      <c r="X144">
        <v>5.5058883000000003E-2</v>
      </c>
      <c r="Y144">
        <v>-7.3026172000000003</v>
      </c>
      <c r="Z144">
        <v>1.4018624E-2</v>
      </c>
      <c r="AA144">
        <v>0.42107074999999999</v>
      </c>
      <c r="AB144">
        <v>0.18607888</v>
      </c>
      <c r="AC144">
        <v>2.6968973E-2</v>
      </c>
      <c r="AD144">
        <v>2.778885E-3</v>
      </c>
    </row>
    <row r="145" spans="1:30">
      <c r="A145" t="s">
        <v>729</v>
      </c>
      <c r="B145" t="s">
        <v>2</v>
      </c>
      <c r="C145" s="4">
        <v>5.1319042999999999E-5</v>
      </c>
      <c r="D145" s="4">
        <v>4.9870668999999999E-5</v>
      </c>
      <c r="E145">
        <v>2.1989729999999999E-3</v>
      </c>
      <c r="F145">
        <v>7.6240369000000002E-2</v>
      </c>
      <c r="G145">
        <v>4.5795462000000002E-2</v>
      </c>
      <c r="H145">
        <v>-1.7780536999999999E-2</v>
      </c>
      <c r="I145">
        <v>1.017733E-2</v>
      </c>
      <c r="J145">
        <v>1.1051485999999999E-2</v>
      </c>
      <c r="K145">
        <v>2.4928823999999998E-3</v>
      </c>
      <c r="L145">
        <v>1.0607749000000001E-3</v>
      </c>
      <c r="M145">
        <v>1.8311999999999998E-2</v>
      </c>
      <c r="N145">
        <v>3.9838647999999997E-2</v>
      </c>
      <c r="O145">
        <v>-4.0589926999999998E-2</v>
      </c>
      <c r="P145">
        <v>7.7839577999999996E-3</v>
      </c>
      <c r="Q145">
        <v>1.738497E-2</v>
      </c>
      <c r="R145">
        <v>7.7850107999999996E-3</v>
      </c>
      <c r="S145">
        <v>2.0374999000000002E-3</v>
      </c>
      <c r="T145">
        <v>1.3756E-3</v>
      </c>
      <c r="U145">
        <v>9.3008906000000002E-4</v>
      </c>
      <c r="V145">
        <v>-4.0667473000000003E-2</v>
      </c>
      <c r="W145">
        <v>-7.4736912000000003E-2</v>
      </c>
      <c r="X145">
        <v>9.4647256E-4</v>
      </c>
      <c r="Y145">
        <v>4.8393791999999998E-2</v>
      </c>
      <c r="Z145">
        <v>3.2164025000000002E-4</v>
      </c>
      <c r="AA145">
        <v>1.8019997999999999E-2</v>
      </c>
      <c r="AB145">
        <v>3.0325178E-3</v>
      </c>
      <c r="AC145">
        <v>4.2144999000000001E-4</v>
      </c>
      <c r="AD145" s="4">
        <v>2.1933948000000002E-5</v>
      </c>
    </row>
    <row r="146" spans="1:30">
      <c r="A146" t="s">
        <v>730</v>
      </c>
      <c r="B146" t="s">
        <v>2</v>
      </c>
      <c r="C146" s="4">
        <v>3.0380346000000001E-6</v>
      </c>
      <c r="D146" s="4">
        <v>3.0188959E-6</v>
      </c>
      <c r="E146">
        <v>1.5903388999999999E-4</v>
      </c>
      <c r="F146">
        <v>6.5466411E-4</v>
      </c>
      <c r="G146" s="4">
        <v>6.2030176000000002E-5</v>
      </c>
      <c r="H146" s="4">
        <v>1.1749025000000001E-5</v>
      </c>
      <c r="I146">
        <v>4.5150801E-4</v>
      </c>
      <c r="J146">
        <v>1.2788392999999999E-4</v>
      </c>
      <c r="K146" s="4">
        <v>8.9423906999999995E-5</v>
      </c>
      <c r="L146" s="4">
        <v>1.1621434999999999E-5</v>
      </c>
      <c r="M146">
        <v>1.0734876E-4</v>
      </c>
      <c r="N146">
        <v>3.1592622E-4</v>
      </c>
      <c r="O146" s="4">
        <v>6.8297905999999999E-5</v>
      </c>
      <c r="P146">
        <v>1.7074256E-4</v>
      </c>
      <c r="Q146">
        <v>1.0224934E-4</v>
      </c>
      <c r="R146">
        <v>1.710634E-4</v>
      </c>
      <c r="S146" s="4">
        <v>7.1774615E-6</v>
      </c>
      <c r="T146">
        <v>1.5738408999999999E-4</v>
      </c>
      <c r="U146" s="4">
        <v>1.1165305999999999E-5</v>
      </c>
      <c r="V146" s="4">
        <v>6.7892578000000001E-5</v>
      </c>
      <c r="W146" s="4">
        <v>5.6856179000000002E-5</v>
      </c>
      <c r="X146" s="4">
        <v>1.9953396E-5</v>
      </c>
      <c r="Y146">
        <v>4.8259190000000002E-4</v>
      </c>
      <c r="Z146" s="4">
        <v>5.2463763000000003E-6</v>
      </c>
      <c r="AA146">
        <v>1.9226572E-4</v>
      </c>
      <c r="AB146">
        <v>1.324722E-4</v>
      </c>
      <c r="AC146" s="4">
        <v>9.0249056000000006E-6</v>
      </c>
      <c r="AD146" s="4">
        <v>3.4745410999999998E-7</v>
      </c>
    </row>
    <row r="147" spans="1:30">
      <c r="A147" t="s">
        <v>731</v>
      </c>
      <c r="B147" t="s">
        <v>2</v>
      </c>
      <c r="C147">
        <v>9.5168428999999998E-4</v>
      </c>
      <c r="D147">
        <v>9.5787601000000004E-4</v>
      </c>
      <c r="E147">
        <v>2.1488079E-2</v>
      </c>
      <c r="F147">
        <v>0.27657291000000001</v>
      </c>
      <c r="G147">
        <v>3.2316516000000003E-2</v>
      </c>
      <c r="H147">
        <v>2.0886268E-2</v>
      </c>
      <c r="I147">
        <v>0.20201690999999999</v>
      </c>
      <c r="J147">
        <v>8.6207317000000006E-2</v>
      </c>
      <c r="K147">
        <v>3.9013290999999999E-2</v>
      </c>
      <c r="L147">
        <v>9.3404496E-3</v>
      </c>
      <c r="M147">
        <v>0.18539396</v>
      </c>
      <c r="N147">
        <v>0.20416217</v>
      </c>
      <c r="O147">
        <v>0.1033849</v>
      </c>
      <c r="P147">
        <v>7.7890637999999998E-2</v>
      </c>
      <c r="Q147">
        <v>0.17137110999999999</v>
      </c>
      <c r="R147">
        <v>7.8165693999999994E-2</v>
      </c>
      <c r="S147">
        <v>1.8938317999999999E-2</v>
      </c>
      <c r="T147">
        <v>0.14364467</v>
      </c>
      <c r="U147">
        <v>7.6594517999999997E-3</v>
      </c>
      <c r="V147">
        <v>0.10193805</v>
      </c>
      <c r="W147">
        <v>0.10479615</v>
      </c>
      <c r="X147">
        <v>1.0968954E-2</v>
      </c>
      <c r="Y147">
        <v>0.27462143</v>
      </c>
      <c r="Z147">
        <v>1.9054790000000001E-3</v>
      </c>
      <c r="AA147">
        <v>7.3575295999999998E-2</v>
      </c>
      <c r="AB147">
        <v>6.3101927000000002E-2</v>
      </c>
      <c r="AC147">
        <v>2.6791713999999999E-3</v>
      </c>
      <c r="AD147">
        <v>2.0026561999999999E-3</v>
      </c>
    </row>
    <row r="148" spans="1:30">
      <c r="A148" t="s">
        <v>732</v>
      </c>
      <c r="B148" t="s">
        <v>2</v>
      </c>
      <c r="C148">
        <v>6.0866987000000004E-4</v>
      </c>
      <c r="D148">
        <v>6.0742659000000002E-4</v>
      </c>
      <c r="E148">
        <v>8.4641074000000004E-3</v>
      </c>
      <c r="F148">
        <v>2.8644236E-2</v>
      </c>
      <c r="G148">
        <v>1.1553881E-2</v>
      </c>
      <c r="H148">
        <v>4.7503427999999997E-3</v>
      </c>
      <c r="I148">
        <v>2.2097519999999999E-2</v>
      </c>
      <c r="J148">
        <v>4.5382706000000002E-2</v>
      </c>
      <c r="K148">
        <v>1.0294118E-2</v>
      </c>
      <c r="L148">
        <v>2.5154613000000002E-3</v>
      </c>
      <c r="M148">
        <v>4.4085423999999998E-2</v>
      </c>
      <c r="N148">
        <v>5.1592219000000002E-2</v>
      </c>
      <c r="O148">
        <v>1.9142484000000001E-2</v>
      </c>
      <c r="P148">
        <v>2.3777614999999998E-2</v>
      </c>
      <c r="Q148">
        <v>4.2772048999999999E-2</v>
      </c>
      <c r="R148">
        <v>2.3665307999999999E-2</v>
      </c>
      <c r="S148">
        <v>3.6004127000000001E-3</v>
      </c>
      <c r="T148">
        <v>3.3123136999999997E-2</v>
      </c>
      <c r="U148">
        <v>2.4019383999999999E-3</v>
      </c>
      <c r="V148">
        <v>1.9146265999999999E-2</v>
      </c>
      <c r="W148">
        <v>1.9914383000000001E-2</v>
      </c>
      <c r="X148">
        <v>3.2014854000000001E-3</v>
      </c>
      <c r="Y148">
        <v>6.8104499999999998E-2</v>
      </c>
      <c r="Z148">
        <v>1.1017258000000001E-3</v>
      </c>
      <c r="AA148">
        <v>9.2333172000000005E-3</v>
      </c>
      <c r="AB148">
        <v>6.9531929999999999E-3</v>
      </c>
      <c r="AC148">
        <v>2.8750110999999998E-3</v>
      </c>
      <c r="AD148" s="4">
        <v>3.9724797999999997E-5</v>
      </c>
    </row>
    <row r="149" spans="1:30">
      <c r="A149" t="s">
        <v>733</v>
      </c>
      <c r="B149" t="s">
        <v>2</v>
      </c>
      <c r="C149" s="4">
        <v>9.7651002000000006E-6</v>
      </c>
      <c r="D149" s="4">
        <v>6.8107038000000001E-6</v>
      </c>
      <c r="E149" s="4">
        <v>1.5001806000000001E-5</v>
      </c>
      <c r="F149" s="4">
        <v>2.0426643E-5</v>
      </c>
      <c r="G149" s="4">
        <v>4.2278089000000001E-5</v>
      </c>
      <c r="H149" s="4">
        <v>2.7177715E-5</v>
      </c>
      <c r="I149">
        <v>1.0131206E-4</v>
      </c>
      <c r="J149">
        <v>5.0029258000000001E-4</v>
      </c>
      <c r="K149" s="4">
        <v>2.6104043E-5</v>
      </c>
      <c r="L149" s="4">
        <v>6.8217008999999997E-6</v>
      </c>
      <c r="M149">
        <v>1.5843241000000001E-4</v>
      </c>
      <c r="N149" s="4">
        <v>2.9614215E-5</v>
      </c>
      <c r="O149" s="4">
        <v>6.1096014999999993E-5</v>
      </c>
      <c r="P149" s="4">
        <v>1.0368504E-5</v>
      </c>
      <c r="Q149">
        <v>1.6434387999999999E-4</v>
      </c>
      <c r="R149" s="4">
        <v>8.7324186000000002E-6</v>
      </c>
      <c r="S149" s="4">
        <v>1.5366081E-5</v>
      </c>
      <c r="T149" s="4">
        <v>6.7993190999999993E-5</v>
      </c>
      <c r="U149" s="4">
        <v>1.0242434999999999E-5</v>
      </c>
      <c r="V149" s="4">
        <v>6.2388033999999999E-5</v>
      </c>
      <c r="W149" s="4">
        <v>8.9978884000000003E-5</v>
      </c>
      <c r="X149" s="4">
        <v>8.0792972000000007E-6</v>
      </c>
      <c r="Y149" s="4">
        <v>3.0799638E-5</v>
      </c>
      <c r="Z149" s="4">
        <v>1.2582168E-5</v>
      </c>
      <c r="AA149" s="4">
        <v>1.4694145E-5</v>
      </c>
      <c r="AB149" s="4">
        <v>3.5223065999999999E-5</v>
      </c>
      <c r="AC149" s="4">
        <v>2.1681198999999999E-5</v>
      </c>
      <c r="AD149" s="4">
        <v>2.6644457999999999E-7</v>
      </c>
    </row>
    <row r="150" spans="1:30">
      <c r="A150" t="s">
        <v>734</v>
      </c>
      <c r="B150" t="s">
        <v>2</v>
      </c>
      <c r="C150" s="4">
        <v>3.2318655999999999E-7</v>
      </c>
      <c r="D150" s="4">
        <v>3.5482896999999998E-7</v>
      </c>
      <c r="E150" s="4">
        <v>1.8318141000000001E-6</v>
      </c>
      <c r="F150" s="4">
        <v>2.0649114000000002E-6</v>
      </c>
      <c r="G150" s="4">
        <v>1.9615220999999999E-6</v>
      </c>
      <c r="H150" s="4">
        <v>2.2513049999999999E-6</v>
      </c>
      <c r="I150" s="4">
        <v>2.5279522E-6</v>
      </c>
      <c r="J150">
        <v>2.0071215E-4</v>
      </c>
      <c r="K150" s="4">
        <v>5.8155243000000001E-6</v>
      </c>
      <c r="L150" s="4">
        <v>1.7464629E-6</v>
      </c>
      <c r="M150" s="4">
        <v>9.7227235000000006E-5</v>
      </c>
      <c r="N150" s="4">
        <v>6.9015463999999997E-6</v>
      </c>
      <c r="O150" s="4">
        <v>1.1002987000000001E-5</v>
      </c>
      <c r="P150" s="4">
        <v>2.1354123000000001E-6</v>
      </c>
      <c r="Q150" s="4">
        <v>9.8394388000000002E-5</v>
      </c>
      <c r="R150" s="4">
        <v>2.0029409E-6</v>
      </c>
      <c r="S150" s="4">
        <v>1.1510427E-6</v>
      </c>
      <c r="T150" s="4">
        <v>2.5491227000000001E-5</v>
      </c>
      <c r="U150" s="4">
        <v>1.9515191000000001E-6</v>
      </c>
      <c r="V150" s="4">
        <v>1.1123287E-5</v>
      </c>
      <c r="W150" s="4">
        <v>1.3393132E-5</v>
      </c>
      <c r="X150" s="4">
        <v>4.4940859E-6</v>
      </c>
      <c r="Y150" s="4">
        <v>5.3292083999999997E-6</v>
      </c>
      <c r="Z150" s="4">
        <v>5.6054908000000002E-7</v>
      </c>
      <c r="AA150" s="4">
        <v>9.2240051E-7</v>
      </c>
      <c r="AB150" s="4">
        <v>8.0741434000000002E-7</v>
      </c>
      <c r="AC150" s="4">
        <v>1.5803684000000001E-6</v>
      </c>
      <c r="AD150" s="4">
        <v>4.5307895000000001E-9</v>
      </c>
    </row>
    <row r="151" spans="1:30">
      <c r="A151" t="s">
        <v>735</v>
      </c>
      <c r="B151" t="s">
        <v>2</v>
      </c>
      <c r="C151" s="4">
        <v>4.2175548000000001E-5</v>
      </c>
      <c r="D151" s="4">
        <v>4.3860579999999997E-5</v>
      </c>
      <c r="E151">
        <v>4.5365702000000003E-4</v>
      </c>
      <c r="F151">
        <v>6.1733928000000003E-4</v>
      </c>
      <c r="G151">
        <v>1.2426428E-3</v>
      </c>
      <c r="H151">
        <v>4.7132979999999999E-4</v>
      </c>
      <c r="I151">
        <v>2.2854290999999999E-3</v>
      </c>
      <c r="J151">
        <v>6.3764186999999998E-3</v>
      </c>
      <c r="K151">
        <v>8.8916855000000005E-4</v>
      </c>
      <c r="L151">
        <v>2.5117904999999999E-4</v>
      </c>
      <c r="M151">
        <v>7.9419651999999997E-3</v>
      </c>
      <c r="N151">
        <v>1.3069882000000001E-3</v>
      </c>
      <c r="O151">
        <v>2.6430169000000001E-3</v>
      </c>
      <c r="P151">
        <v>1.5601971E-3</v>
      </c>
      <c r="Q151">
        <v>7.9441674000000004E-3</v>
      </c>
      <c r="R151">
        <v>1.5617032000000001E-3</v>
      </c>
      <c r="S151">
        <v>9.8378436E-4</v>
      </c>
      <c r="T151">
        <v>3.1607075000000002E-3</v>
      </c>
      <c r="U151">
        <v>2.4264702E-4</v>
      </c>
      <c r="V151">
        <v>2.6370806999999998E-3</v>
      </c>
      <c r="W151">
        <v>2.7801958999999999E-3</v>
      </c>
      <c r="X151">
        <v>3.4037027E-4</v>
      </c>
      <c r="Y151">
        <v>2.0254197999999999E-3</v>
      </c>
      <c r="Z151" s="4">
        <v>8.0402385E-5</v>
      </c>
      <c r="AA151">
        <v>3.8610499999999998E-4</v>
      </c>
      <c r="AB151">
        <v>8.1558914999999997E-4</v>
      </c>
      <c r="AC151">
        <v>1.2091435E-4</v>
      </c>
      <c r="AD151" s="4">
        <v>9.4902184E-6</v>
      </c>
    </row>
    <row r="152" spans="1:30">
      <c r="A152" t="s">
        <v>736</v>
      </c>
      <c r="B152" t="s">
        <v>2</v>
      </c>
      <c r="C152" s="4">
        <v>5.5572950999999997E-5</v>
      </c>
      <c r="D152" s="4">
        <v>5.7001383E-5</v>
      </c>
      <c r="E152">
        <v>2.3372033E-3</v>
      </c>
      <c r="F152">
        <v>4.4916681999999999E-3</v>
      </c>
      <c r="G152">
        <v>3.5707586E-3</v>
      </c>
      <c r="H152">
        <v>3.4006967000000002E-3</v>
      </c>
      <c r="I152">
        <v>5.3522326000000004E-3</v>
      </c>
      <c r="J152">
        <v>3.7237615000000001E-3</v>
      </c>
      <c r="K152">
        <v>1.4014418000000001E-3</v>
      </c>
      <c r="L152">
        <v>2.5807891999999997E-4</v>
      </c>
      <c r="M152">
        <v>4.7324545999999999E-3</v>
      </c>
      <c r="N152">
        <v>2.8392227E-3</v>
      </c>
      <c r="O152">
        <v>1.4276881E-2</v>
      </c>
      <c r="P152">
        <v>3.3642577000000001E-3</v>
      </c>
      <c r="Q152">
        <v>4.4254884000000001E-3</v>
      </c>
      <c r="R152">
        <v>3.3583312000000001E-3</v>
      </c>
      <c r="S152">
        <v>4.2272286999999999E-4</v>
      </c>
      <c r="T152">
        <v>7.3187453000000003E-3</v>
      </c>
      <c r="U152">
        <v>2.3007687999999999E-4</v>
      </c>
      <c r="V152">
        <v>1.4263568000000001E-2</v>
      </c>
      <c r="W152">
        <v>1.5937191999999999E-2</v>
      </c>
      <c r="X152">
        <v>3.3851025000000001E-4</v>
      </c>
      <c r="Y152">
        <v>3.1675830999999999E-3</v>
      </c>
      <c r="Z152">
        <v>1.0335231E-4</v>
      </c>
      <c r="AA152">
        <v>1.8447771E-3</v>
      </c>
      <c r="AB152">
        <v>1.8386689E-3</v>
      </c>
      <c r="AC152">
        <v>1.5342592000000001E-4</v>
      </c>
      <c r="AD152">
        <v>4.9186409999999999E-4</v>
      </c>
    </row>
    <row r="153" spans="1:30">
      <c r="A153" t="s">
        <v>737</v>
      </c>
      <c r="B153" t="s">
        <v>2</v>
      </c>
      <c r="C153">
        <v>1.3044327E-4</v>
      </c>
      <c r="D153" s="4">
        <v>8.3665323000000003E-5</v>
      </c>
      <c r="E153">
        <v>0.43242919000000002</v>
      </c>
      <c r="F153">
        <v>0.86242348999999996</v>
      </c>
      <c r="G153">
        <v>0.33660067999999999</v>
      </c>
      <c r="H153">
        <v>0.10691645</v>
      </c>
      <c r="I153">
        <v>0.32875201999999998</v>
      </c>
      <c r="J153">
        <v>4.6583585999999998E-3</v>
      </c>
      <c r="K153">
        <v>0.43200617000000002</v>
      </c>
      <c r="L153">
        <v>-8.0023283000000005E-4</v>
      </c>
      <c r="M153">
        <v>4.4855536999999996E-3</v>
      </c>
      <c r="N153">
        <v>-5.4418809000000001</v>
      </c>
      <c r="O153">
        <v>-3.5180842999999999</v>
      </c>
      <c r="P153">
        <v>0.13832617999999999</v>
      </c>
      <c r="Q153">
        <v>4.7452696999999997E-3</v>
      </c>
      <c r="R153">
        <v>0.13833284000000001</v>
      </c>
      <c r="S153">
        <v>4.4771466000000001E-4</v>
      </c>
      <c r="T153">
        <v>-2.9511170999999998</v>
      </c>
      <c r="U153">
        <v>-8.2280397999999998E-4</v>
      </c>
      <c r="V153">
        <v>-3.5171880999999998</v>
      </c>
      <c r="W153">
        <v>-4.4792749000000001</v>
      </c>
      <c r="X153">
        <v>-6.7700612999999998E-4</v>
      </c>
      <c r="Y153">
        <v>-7.7414538999999998</v>
      </c>
      <c r="Z153">
        <v>2.6070394999999999E-4</v>
      </c>
      <c r="AA153">
        <v>0.30140285999999999</v>
      </c>
      <c r="AB153">
        <v>9.4223059999999997E-2</v>
      </c>
      <c r="AC153">
        <v>2.5716387000000002E-4</v>
      </c>
      <c r="AD153" s="4">
        <v>1.7951956999999999E-5</v>
      </c>
    </row>
    <row r="154" spans="1:30">
      <c r="A154" t="s">
        <v>738</v>
      </c>
      <c r="B154" t="s">
        <v>2</v>
      </c>
      <c r="C154" s="4">
        <v>1.7729691999999999E-5</v>
      </c>
      <c r="D154" s="4">
        <v>1.9763645000000001E-5</v>
      </c>
      <c r="E154">
        <v>2.4243627000000001E-4</v>
      </c>
      <c r="F154">
        <v>3.2926347000000001E-4</v>
      </c>
      <c r="G154">
        <v>6.1208004000000004E-4</v>
      </c>
      <c r="H154">
        <v>2.1240395999999999E-4</v>
      </c>
      <c r="I154">
        <v>5.9909787000000003E-4</v>
      </c>
      <c r="J154">
        <v>4.2542020000000003E-3</v>
      </c>
      <c r="K154">
        <v>4.027848E-4</v>
      </c>
      <c r="L154">
        <v>1.363856E-4</v>
      </c>
      <c r="M154">
        <v>3.2649927999999998E-3</v>
      </c>
      <c r="N154">
        <v>4.5071161999999998E-4</v>
      </c>
      <c r="O154">
        <v>1.0058154999999999E-3</v>
      </c>
      <c r="P154">
        <v>3.7642627999999998E-4</v>
      </c>
      <c r="Q154">
        <v>3.2540949999999998E-3</v>
      </c>
      <c r="R154">
        <v>3.7761746000000002E-4</v>
      </c>
      <c r="S154">
        <v>4.7538138999999999E-4</v>
      </c>
      <c r="T154">
        <v>1.1938243999999999E-3</v>
      </c>
      <c r="U154">
        <v>1.3536734E-4</v>
      </c>
      <c r="V154">
        <v>1.0048138000000001E-3</v>
      </c>
      <c r="W154">
        <v>1.0846337E-3</v>
      </c>
      <c r="X154">
        <v>2.2110378999999999E-4</v>
      </c>
      <c r="Y154">
        <v>7.4111212E-4</v>
      </c>
      <c r="Z154" s="4">
        <v>3.7325786000000003E-5</v>
      </c>
      <c r="AA154">
        <v>1.5781488E-4</v>
      </c>
      <c r="AB154">
        <v>1.9819600000000001E-4</v>
      </c>
      <c r="AC154" s="4">
        <v>9.9370683999999997E-5</v>
      </c>
      <c r="AD154" s="4">
        <v>8.1317892000000004E-6</v>
      </c>
    </row>
    <row r="155" spans="1:30">
      <c r="A155" t="s">
        <v>739</v>
      </c>
      <c r="B155" t="s">
        <v>2</v>
      </c>
      <c r="C155">
        <v>5.9052543000000001E-3</v>
      </c>
      <c r="D155">
        <v>5.9241114999999999E-3</v>
      </c>
      <c r="E155">
        <v>2.7707105999999999E-2</v>
      </c>
      <c r="F155">
        <v>3.0251510999999998E-2</v>
      </c>
      <c r="G155">
        <v>3.3242786000000003E-2</v>
      </c>
      <c r="H155">
        <v>1.3183185E-2</v>
      </c>
      <c r="I155">
        <v>4.5743734000000001E-2</v>
      </c>
      <c r="J155">
        <v>0.22383871999999999</v>
      </c>
      <c r="K155">
        <v>2.8524712000000001E-2</v>
      </c>
      <c r="L155">
        <v>2.3098258999999999E-2</v>
      </c>
      <c r="M155">
        <v>0.15236946000000001</v>
      </c>
      <c r="N155">
        <v>3.5025805E-2</v>
      </c>
      <c r="O155">
        <v>4.8572602999999999E-2</v>
      </c>
      <c r="P155">
        <v>2.3436272000000001E-2</v>
      </c>
      <c r="Q155">
        <v>0.16137699999999999</v>
      </c>
      <c r="R155">
        <v>2.2794528000000001E-2</v>
      </c>
      <c r="S155">
        <v>1.0422720999999999E-2</v>
      </c>
      <c r="T155">
        <v>6.3741590000000001E-2</v>
      </c>
      <c r="U155">
        <v>2.3726873999999998E-2</v>
      </c>
      <c r="V155">
        <v>4.9324237999999999E-2</v>
      </c>
      <c r="W155">
        <v>5.0800251999999997E-2</v>
      </c>
      <c r="X155">
        <v>3.9686467000000003E-2</v>
      </c>
      <c r="Y155">
        <v>4.1264123E-2</v>
      </c>
      <c r="Z155">
        <v>1.0189606E-2</v>
      </c>
      <c r="AA155">
        <v>1.6242698E-2</v>
      </c>
      <c r="AB155">
        <v>1.5747227999999999E-2</v>
      </c>
      <c r="AC155">
        <v>2.033018E-2</v>
      </c>
      <c r="AD155">
        <v>1.8651354999999999E-4</v>
      </c>
    </row>
    <row r="157" spans="1:30">
      <c r="Y157" t="s">
        <v>1152</v>
      </c>
    </row>
  </sheetData>
  <conditionalFormatting sqref="C144:AD144">
    <cfRule type="colorScale" priority="1">
      <colorScale>
        <cfvo type="min"/>
        <cfvo type="percentile" val="50"/>
        <cfvo type="max"/>
        <color rgb="FF63BE7B"/>
        <color rgb="FFFFEB84"/>
        <color rgb="FFF8696B"/>
      </colorScale>
    </cfRule>
  </conditionalFormatting>
  <pageMargins left="0.7" right="0.7" top="0.78740157499999996" bottom="0.78740157499999996"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03"/>
  <sheetViews>
    <sheetView workbookViewId="0"/>
  </sheetViews>
  <sheetFormatPr baseColWidth="10" defaultRowHeight="12.75" outlineLevelCol="1"/>
  <cols>
    <col min="1" max="1" width="45.5703125" style="9" customWidth="1"/>
    <col min="2" max="2" width="49.85546875" style="9" customWidth="1"/>
    <col min="3" max="4" width="11.42578125" style="7" customWidth="1" outlineLevel="1"/>
    <col min="5" max="5" width="5.42578125" customWidth="1"/>
    <col min="6" max="6" width="44.7109375" bestFit="1" customWidth="1"/>
    <col min="7" max="7" width="22" bestFit="1" customWidth="1"/>
    <col min="8" max="8" width="5" bestFit="1" customWidth="1"/>
    <col min="9" max="9" width="28.42578125" customWidth="1"/>
  </cols>
  <sheetData>
    <row r="1" spans="1:6" s="6" customFormat="1">
      <c r="A1" s="8" t="s">
        <v>11</v>
      </c>
      <c r="B1" s="8" t="s">
        <v>12</v>
      </c>
      <c r="C1" s="5" t="s">
        <v>13</v>
      </c>
      <c r="D1" s="5" t="s">
        <v>14</v>
      </c>
      <c r="F1" s="6" t="s">
        <v>15</v>
      </c>
    </row>
    <row r="2" spans="1:6">
      <c r="A2" t="s">
        <v>708</v>
      </c>
      <c r="B2" s="272" t="s">
        <v>772</v>
      </c>
      <c r="E2">
        <v>2</v>
      </c>
      <c r="F2" t="s">
        <v>11</v>
      </c>
    </row>
    <row r="3" spans="1:6">
      <c r="A3" t="s">
        <v>16</v>
      </c>
      <c r="B3" s="272" t="s">
        <v>776</v>
      </c>
      <c r="E3">
        <v>3</v>
      </c>
      <c r="F3" t="s">
        <v>12</v>
      </c>
    </row>
    <row r="4" spans="1:6">
      <c r="A4" t="s">
        <v>37</v>
      </c>
      <c r="B4" s="272" t="s">
        <v>417</v>
      </c>
      <c r="E4">
        <v>4</v>
      </c>
    </row>
    <row r="5" spans="1:6">
      <c r="A5" t="s">
        <v>707</v>
      </c>
      <c r="B5" s="272" t="s">
        <v>773</v>
      </c>
      <c r="E5">
        <v>5</v>
      </c>
    </row>
    <row r="6" spans="1:6">
      <c r="A6" t="s">
        <v>706</v>
      </c>
      <c r="B6" s="272" t="s">
        <v>774</v>
      </c>
      <c r="E6">
        <v>6</v>
      </c>
    </row>
    <row r="7" spans="1:6">
      <c r="A7" t="s">
        <v>705</v>
      </c>
      <c r="B7" s="272" t="s">
        <v>825</v>
      </c>
      <c r="E7">
        <v>7</v>
      </c>
    </row>
    <row r="8" spans="1:6">
      <c r="A8" t="s">
        <v>704</v>
      </c>
      <c r="B8" s="272" t="s">
        <v>775</v>
      </c>
      <c r="E8">
        <v>8</v>
      </c>
    </row>
    <row r="9" spans="1:6">
      <c r="A9" s="149" t="s">
        <v>564</v>
      </c>
      <c r="B9" s="272" t="s">
        <v>703</v>
      </c>
      <c r="E9">
        <v>9</v>
      </c>
    </row>
    <row r="10" spans="1:6">
      <c r="A10" t="s">
        <v>358</v>
      </c>
      <c r="B10" s="272" t="s">
        <v>702</v>
      </c>
      <c r="E10">
        <v>10</v>
      </c>
    </row>
    <row r="11" spans="1:6">
      <c r="A11" t="s">
        <v>356</v>
      </c>
      <c r="B11" s="272" t="s">
        <v>782</v>
      </c>
      <c r="E11">
        <v>11</v>
      </c>
    </row>
    <row r="12" spans="1:6">
      <c r="A12" t="s">
        <v>701</v>
      </c>
      <c r="B12" s="272" t="s">
        <v>777</v>
      </c>
      <c r="E12">
        <v>12</v>
      </c>
    </row>
    <row r="13" spans="1:6">
      <c r="A13" s="149" t="s">
        <v>700</v>
      </c>
      <c r="B13" s="272" t="s">
        <v>824</v>
      </c>
      <c r="E13">
        <v>13</v>
      </c>
    </row>
    <row r="14" spans="1:6">
      <c r="A14" s="149" t="s">
        <v>372</v>
      </c>
      <c r="B14" s="272" t="s">
        <v>778</v>
      </c>
      <c r="E14">
        <v>14</v>
      </c>
    </row>
    <row r="15" spans="1:6">
      <c r="A15" t="s">
        <v>699</v>
      </c>
      <c r="B15" s="9" t="s">
        <v>18</v>
      </c>
      <c r="E15">
        <v>15</v>
      </c>
    </row>
    <row r="16" spans="1:6">
      <c r="A16" t="s">
        <v>698</v>
      </c>
      <c r="B16" s="272" t="s">
        <v>779</v>
      </c>
      <c r="E16">
        <v>16</v>
      </c>
    </row>
    <row r="17" spans="1:9">
      <c r="A17" t="s">
        <v>35</v>
      </c>
      <c r="B17" s="285" t="s">
        <v>35</v>
      </c>
      <c r="E17">
        <v>17</v>
      </c>
      <c r="H17" s="273"/>
      <c r="I17" s="9"/>
    </row>
    <row r="18" spans="1:9">
      <c r="A18" s="149" t="s">
        <v>359</v>
      </c>
      <c r="B18" s="272" t="s">
        <v>391</v>
      </c>
      <c r="E18">
        <v>18</v>
      </c>
    </row>
    <row r="19" spans="1:9">
      <c r="A19" t="s">
        <v>286</v>
      </c>
      <c r="B19" s="272" t="s">
        <v>481</v>
      </c>
      <c r="E19">
        <v>19</v>
      </c>
    </row>
    <row r="20" spans="1:9">
      <c r="A20" t="s">
        <v>302</v>
      </c>
      <c r="B20" s="273" t="s">
        <v>780</v>
      </c>
      <c r="E20">
        <v>20</v>
      </c>
      <c r="H20" s="11"/>
    </row>
    <row r="21" spans="1:9">
      <c r="A21" t="s">
        <v>277</v>
      </c>
      <c r="B21" s="273" t="s">
        <v>783</v>
      </c>
      <c r="E21">
        <v>21</v>
      </c>
    </row>
    <row r="22" spans="1:9">
      <c r="A22" t="s">
        <v>19</v>
      </c>
      <c r="B22" s="11" t="s">
        <v>476</v>
      </c>
      <c r="E22">
        <v>22</v>
      </c>
    </row>
    <row r="23" spans="1:9">
      <c r="A23" s="149" t="s">
        <v>565</v>
      </c>
      <c r="B23" s="272" t="s">
        <v>697</v>
      </c>
      <c r="E23">
        <v>23</v>
      </c>
    </row>
    <row r="24" spans="1:9">
      <c r="A24"/>
      <c r="E24">
        <v>24</v>
      </c>
    </row>
    <row r="25" spans="1:9">
      <c r="A25" t="s">
        <v>20</v>
      </c>
      <c r="B25" s="9" t="s">
        <v>21</v>
      </c>
      <c r="E25">
        <v>25</v>
      </c>
    </row>
    <row r="26" spans="1:9">
      <c r="A26" t="s">
        <v>66</v>
      </c>
      <c r="B26" s="272" t="s">
        <v>768</v>
      </c>
      <c r="E26">
        <v>26</v>
      </c>
    </row>
    <row r="27" spans="1:9">
      <c r="A27" t="s">
        <v>38</v>
      </c>
      <c r="B27" s="272" t="s">
        <v>814</v>
      </c>
      <c r="E27">
        <v>27</v>
      </c>
    </row>
    <row r="28" spans="1:9">
      <c r="A28" s="132"/>
      <c r="B28" s="270"/>
      <c r="E28">
        <v>28</v>
      </c>
    </row>
    <row r="29" spans="1:9">
      <c r="A29" s="132" t="s">
        <v>22</v>
      </c>
      <c r="B29" s="271" t="s">
        <v>22</v>
      </c>
      <c r="E29">
        <v>29</v>
      </c>
    </row>
    <row r="30" spans="1:9">
      <c r="A30" s="132"/>
      <c r="B30" s="286"/>
      <c r="E30">
        <v>30</v>
      </c>
    </row>
    <row r="31" spans="1:9">
      <c r="A31" s="132" t="s">
        <v>49</v>
      </c>
      <c r="B31" s="9" t="s">
        <v>50</v>
      </c>
      <c r="E31">
        <v>31</v>
      </c>
    </row>
    <row r="32" spans="1:9">
      <c r="A32" s="272" t="s">
        <v>696</v>
      </c>
      <c r="B32" s="9" t="s">
        <v>781</v>
      </c>
      <c r="E32">
        <v>32</v>
      </c>
    </row>
    <row r="33" spans="1:5">
      <c r="A33" s="132" t="s">
        <v>23</v>
      </c>
      <c r="B33" s="272" t="s">
        <v>784</v>
      </c>
      <c r="E33">
        <v>33</v>
      </c>
    </row>
    <row r="34" spans="1:5">
      <c r="A34" s="132" t="s">
        <v>24</v>
      </c>
      <c r="B34" s="272" t="s">
        <v>785</v>
      </c>
      <c r="E34">
        <v>34</v>
      </c>
    </row>
    <row r="35" spans="1:5">
      <c r="A35" s="132" t="s">
        <v>39</v>
      </c>
      <c r="B35" s="9" t="s">
        <v>695</v>
      </c>
      <c r="E35">
        <v>35</v>
      </c>
    </row>
    <row r="36" spans="1:5">
      <c r="A36" s="132"/>
      <c r="B36" s="285"/>
      <c r="E36">
        <v>36</v>
      </c>
    </row>
    <row r="37" spans="1:5">
      <c r="A37" s="132"/>
      <c r="E37">
        <v>37</v>
      </c>
    </row>
    <row r="38" spans="1:5">
      <c r="A38" s="132"/>
      <c r="B38" s="270"/>
      <c r="E38">
        <v>38</v>
      </c>
    </row>
    <row r="39" spans="1:5">
      <c r="A39" s="132"/>
      <c r="B39" s="270"/>
      <c r="E39">
        <v>39</v>
      </c>
    </row>
    <row r="40" spans="1:5">
      <c r="A40" s="132"/>
      <c r="B40" s="286"/>
      <c r="E40">
        <v>40</v>
      </c>
    </row>
    <row r="41" spans="1:5">
      <c r="A41" s="132"/>
      <c r="B41" s="286"/>
      <c r="E41">
        <v>41</v>
      </c>
    </row>
    <row r="42" spans="1:5">
      <c r="A42" s="287" t="s">
        <v>350</v>
      </c>
      <c r="B42" s="286" t="s">
        <v>402</v>
      </c>
      <c r="E42">
        <v>42</v>
      </c>
    </row>
    <row r="43" spans="1:5">
      <c r="A43" s="272" t="s">
        <v>694</v>
      </c>
      <c r="B43" s="270" t="s">
        <v>815</v>
      </c>
      <c r="E43">
        <v>43</v>
      </c>
    </row>
    <row r="44" spans="1:5">
      <c r="A44" s="132" t="s">
        <v>693</v>
      </c>
      <c r="B44" s="270" t="s">
        <v>692</v>
      </c>
      <c r="E44">
        <v>44</v>
      </c>
    </row>
    <row r="45" spans="1:5">
      <c r="A45" s="132" t="s">
        <v>298</v>
      </c>
      <c r="B45" s="272" t="s">
        <v>786</v>
      </c>
      <c r="E45">
        <v>45</v>
      </c>
    </row>
    <row r="46" spans="1:5">
      <c r="A46" s="132" t="s">
        <v>34</v>
      </c>
      <c r="B46" s="272" t="s">
        <v>390</v>
      </c>
      <c r="E46">
        <v>46</v>
      </c>
    </row>
    <row r="47" spans="1:5">
      <c r="A47" s="132" t="s">
        <v>691</v>
      </c>
      <c r="B47" s="272" t="s">
        <v>787</v>
      </c>
      <c r="E47">
        <v>47</v>
      </c>
    </row>
    <row r="48" spans="1:5">
      <c r="A48" s="132" t="s">
        <v>690</v>
      </c>
      <c r="B48" s="272" t="s">
        <v>788</v>
      </c>
      <c r="E48">
        <v>48</v>
      </c>
    </row>
    <row r="49" spans="1:5">
      <c r="A49" s="132" t="s">
        <v>67</v>
      </c>
      <c r="B49" s="272" t="s">
        <v>389</v>
      </c>
      <c r="E49">
        <v>49</v>
      </c>
    </row>
    <row r="50" spans="1:5">
      <c r="A50" s="132" t="s">
        <v>34</v>
      </c>
      <c r="B50" s="272" t="s">
        <v>390</v>
      </c>
      <c r="E50">
        <v>50</v>
      </c>
    </row>
    <row r="51" spans="1:5">
      <c r="A51" s="132" t="s">
        <v>31</v>
      </c>
      <c r="B51" s="272" t="s">
        <v>480</v>
      </c>
      <c r="E51">
        <v>51</v>
      </c>
    </row>
    <row r="52" spans="1:5">
      <c r="A52" s="132" t="s">
        <v>32</v>
      </c>
      <c r="B52" s="272" t="s">
        <v>385</v>
      </c>
      <c r="E52">
        <v>52</v>
      </c>
    </row>
    <row r="53" spans="1:5">
      <c r="A53" s="132" t="s">
        <v>33</v>
      </c>
      <c r="B53" s="272" t="s">
        <v>386</v>
      </c>
      <c r="E53">
        <v>53</v>
      </c>
    </row>
    <row r="54" spans="1:5">
      <c r="A54" s="132" t="s">
        <v>711</v>
      </c>
      <c r="B54" s="272" t="s">
        <v>487</v>
      </c>
      <c r="E54">
        <v>54</v>
      </c>
    </row>
    <row r="55" spans="1:5">
      <c r="A55" s="132" t="s">
        <v>689</v>
      </c>
      <c r="B55" s="272" t="s">
        <v>791</v>
      </c>
      <c r="E55">
        <v>55</v>
      </c>
    </row>
    <row r="56" spans="1:5">
      <c r="A56" s="132" t="s">
        <v>688</v>
      </c>
      <c r="B56" s="272" t="s">
        <v>789</v>
      </c>
      <c r="E56">
        <v>56</v>
      </c>
    </row>
    <row r="57" spans="1:5">
      <c r="A57" s="132"/>
      <c r="B57" s="270"/>
      <c r="E57">
        <v>57</v>
      </c>
    </row>
    <row r="58" spans="1:5">
      <c r="A58" s="132"/>
      <c r="B58" s="270"/>
      <c r="E58">
        <v>58</v>
      </c>
    </row>
    <row r="59" spans="1:5">
      <c r="A59" s="132"/>
      <c r="B59" s="270"/>
      <c r="E59">
        <v>59</v>
      </c>
    </row>
    <row r="60" spans="1:5">
      <c r="A60" s="132"/>
      <c r="B60" s="268"/>
      <c r="E60">
        <v>60</v>
      </c>
    </row>
    <row r="61" spans="1:5">
      <c r="A61" s="132"/>
      <c r="B61" s="268"/>
      <c r="E61">
        <v>61</v>
      </c>
    </row>
    <row r="62" spans="1:5">
      <c r="A62" s="132" t="s">
        <v>395</v>
      </c>
      <c r="B62" s="270" t="s">
        <v>823</v>
      </c>
      <c r="E62">
        <v>62</v>
      </c>
    </row>
    <row r="63" spans="1:5">
      <c r="A63" s="132" t="s">
        <v>687</v>
      </c>
      <c r="B63" s="272" t="s">
        <v>792</v>
      </c>
      <c r="E63">
        <v>63</v>
      </c>
    </row>
    <row r="64" spans="1:5">
      <c r="A64" t="s">
        <v>686</v>
      </c>
      <c r="B64" s="270" t="s">
        <v>793</v>
      </c>
      <c r="E64">
        <v>64</v>
      </c>
    </row>
    <row r="65" spans="1:7">
      <c r="A65" t="s">
        <v>685</v>
      </c>
      <c r="B65" s="270" t="s">
        <v>794</v>
      </c>
      <c r="E65">
        <v>65</v>
      </c>
    </row>
    <row r="66" spans="1:7">
      <c r="A66" t="s">
        <v>684</v>
      </c>
      <c r="B66" s="270" t="s">
        <v>961</v>
      </c>
      <c r="E66">
        <v>66</v>
      </c>
    </row>
    <row r="67" spans="1:7">
      <c r="A67" s="149" t="s">
        <v>683</v>
      </c>
      <c r="B67" s="269" t="s">
        <v>795</v>
      </c>
      <c r="E67">
        <v>67</v>
      </c>
      <c r="G67" s="27"/>
    </row>
    <row r="68" spans="1:7">
      <c r="A68" s="149" t="s">
        <v>567</v>
      </c>
      <c r="B68" s="269" t="s">
        <v>962</v>
      </c>
      <c r="E68">
        <v>68</v>
      </c>
    </row>
    <row r="69" spans="1:7">
      <c r="A69"/>
      <c r="B69" s="269"/>
      <c r="E69">
        <v>69</v>
      </c>
    </row>
    <row r="70" spans="1:7">
      <c r="A70"/>
      <c r="B70" s="268"/>
      <c r="E70">
        <v>70</v>
      </c>
    </row>
    <row r="71" spans="1:7">
      <c r="A71" t="s">
        <v>682</v>
      </c>
      <c r="B71" s="272" t="s">
        <v>796</v>
      </c>
      <c r="E71">
        <v>71</v>
      </c>
    </row>
    <row r="72" spans="1:7">
      <c r="A72" t="s">
        <v>681</v>
      </c>
      <c r="B72" s="272" t="s">
        <v>797</v>
      </c>
      <c r="E72">
        <v>72</v>
      </c>
    </row>
    <row r="73" spans="1:7">
      <c r="A73" t="s">
        <v>680</v>
      </c>
      <c r="B73" s="272" t="s">
        <v>798</v>
      </c>
      <c r="E73">
        <v>73</v>
      </c>
    </row>
    <row r="74" spans="1:7">
      <c r="A74"/>
      <c r="B74" s="286"/>
      <c r="E74">
        <v>74</v>
      </c>
    </row>
    <row r="75" spans="1:7">
      <c r="A75"/>
      <c r="B75" s="270"/>
      <c r="E75">
        <v>75</v>
      </c>
    </row>
    <row r="76" spans="1:7">
      <c r="A76"/>
      <c r="B76" s="270"/>
      <c r="E76">
        <v>76</v>
      </c>
    </row>
    <row r="77" spans="1:7">
      <c r="A77"/>
      <c r="B77" s="270"/>
      <c r="E77">
        <v>77</v>
      </c>
    </row>
    <row r="78" spans="1:7">
      <c r="A78"/>
      <c r="B78" s="270"/>
      <c r="E78">
        <v>78</v>
      </c>
    </row>
    <row r="79" spans="1:7">
      <c r="A79"/>
      <c r="B79" s="270"/>
      <c r="E79">
        <v>79</v>
      </c>
    </row>
    <row r="80" spans="1:7">
      <c r="A80" s="149" t="s">
        <v>384</v>
      </c>
      <c r="B80" s="270" t="s">
        <v>408</v>
      </c>
      <c r="E80">
        <v>80</v>
      </c>
    </row>
    <row r="81" spans="1:10">
      <c r="A81" s="149" t="s">
        <v>679</v>
      </c>
      <c r="B81" s="270" t="s">
        <v>799</v>
      </c>
      <c r="E81">
        <v>81</v>
      </c>
      <c r="F81" s="266">
        <f>INDEX(menuesBM!$1:$1048576,$E81,sprache)</f>
        <v>0</v>
      </c>
    </row>
    <row r="82" spans="1:10">
      <c r="A82" s="149" t="s">
        <v>678</v>
      </c>
      <c r="B82" s="270" t="s">
        <v>800</v>
      </c>
      <c r="E82">
        <v>82</v>
      </c>
      <c r="F82" s="266">
        <f>INDEX(menuesBM!$1:$1048576,$E82,sprache)</f>
        <v>0</v>
      </c>
    </row>
    <row r="83" spans="1:10">
      <c r="A83" s="149" t="s">
        <v>677</v>
      </c>
      <c r="B83" s="270" t="s">
        <v>810</v>
      </c>
      <c r="E83">
        <v>83</v>
      </c>
      <c r="F83" s="266">
        <f>INDEX(menuesBM!$1:$1048576,$E83,sprache)</f>
        <v>0</v>
      </c>
    </row>
    <row r="84" spans="1:10">
      <c r="A84" s="149" t="s">
        <v>676</v>
      </c>
      <c r="B84" s="270" t="s">
        <v>801</v>
      </c>
      <c r="E84">
        <v>84</v>
      </c>
      <c r="F84" s="266">
        <f>INDEX(menuesBM!$1:$1048576,$E84,sprache)</f>
        <v>0</v>
      </c>
    </row>
    <row r="85" spans="1:10">
      <c r="A85" s="149" t="s">
        <v>675</v>
      </c>
      <c r="B85" s="272" t="s">
        <v>803</v>
      </c>
      <c r="E85">
        <v>85</v>
      </c>
      <c r="F85" s="266">
        <f>INDEX(menuesBM!$1:$1048576,$E85,sprache)</f>
        <v>0</v>
      </c>
    </row>
    <row r="86" spans="1:10">
      <c r="A86" s="149" t="s">
        <v>674</v>
      </c>
      <c r="B86" s="286" t="s">
        <v>802</v>
      </c>
      <c r="E86">
        <v>86</v>
      </c>
    </row>
    <row r="87" spans="1:10">
      <c r="A87"/>
      <c r="E87">
        <v>87</v>
      </c>
    </row>
    <row r="88" spans="1:10">
      <c r="A88" t="s">
        <v>713</v>
      </c>
      <c r="B88" s="9" t="s">
        <v>488</v>
      </c>
      <c r="E88">
        <v>88</v>
      </c>
      <c r="G88" s="3"/>
      <c r="H88" s="3"/>
      <c r="I88" s="3"/>
      <c r="J88" s="3"/>
    </row>
    <row r="89" spans="1:10">
      <c r="A89" t="s">
        <v>714</v>
      </c>
      <c r="B89" s="9" t="s">
        <v>412</v>
      </c>
      <c r="E89">
        <v>89</v>
      </c>
    </row>
    <row r="90" spans="1:10">
      <c r="A90" t="s">
        <v>715</v>
      </c>
      <c r="B90" s="9" t="s">
        <v>489</v>
      </c>
      <c r="E90">
        <v>90</v>
      </c>
    </row>
    <row r="91" spans="1:10">
      <c r="A91" t="s">
        <v>274</v>
      </c>
      <c r="B91" s="9" t="s">
        <v>482</v>
      </c>
      <c r="E91">
        <v>91</v>
      </c>
    </row>
    <row r="92" spans="1:10">
      <c r="A92"/>
      <c r="E92">
        <v>92</v>
      </c>
    </row>
    <row r="93" spans="1:10">
      <c r="A93" t="s">
        <v>746</v>
      </c>
      <c r="B93" s="272" t="s">
        <v>826</v>
      </c>
      <c r="E93">
        <v>93</v>
      </c>
    </row>
    <row r="94" spans="1:10">
      <c r="A94" s="149" t="s">
        <v>278</v>
      </c>
      <c r="B94" s="272" t="s">
        <v>816</v>
      </c>
      <c r="E94">
        <v>94</v>
      </c>
    </row>
    <row r="95" spans="1:10">
      <c r="A95" t="s">
        <v>673</v>
      </c>
      <c r="B95" s="272" t="s">
        <v>804</v>
      </c>
      <c r="E95">
        <v>95</v>
      </c>
      <c r="F95" s="266">
        <f>INDEX(menuesBM!$1:$1048576,$E95,sprache)</f>
        <v>0</v>
      </c>
    </row>
    <row r="96" spans="1:10">
      <c r="A96" t="s">
        <v>672</v>
      </c>
      <c r="B96" s="272" t="s">
        <v>805</v>
      </c>
      <c r="E96">
        <v>96</v>
      </c>
      <c r="F96" s="266">
        <f>INDEX(menuesBM!$1:$1048576,$E96,sprache)</f>
        <v>0</v>
      </c>
    </row>
    <row r="97" spans="1:6">
      <c r="A97" t="s">
        <v>671</v>
      </c>
      <c r="B97" s="272" t="s">
        <v>806</v>
      </c>
      <c r="E97">
        <v>97</v>
      </c>
      <c r="F97" s="266">
        <f>INDEX(menuesBM!$1:$1048576,$E97,sprache)</f>
        <v>0</v>
      </c>
    </row>
    <row r="98" spans="1:6">
      <c r="A98" t="s">
        <v>670</v>
      </c>
      <c r="B98" s="272" t="s">
        <v>807</v>
      </c>
      <c r="E98">
        <v>98</v>
      </c>
      <c r="F98" s="266">
        <f>INDEX(menuesBM!$1:$1048576,$E98,sprache)</f>
        <v>0</v>
      </c>
    </row>
    <row r="99" spans="1:6">
      <c r="A99" t="s">
        <v>375</v>
      </c>
      <c r="B99" s="272" t="s">
        <v>811</v>
      </c>
      <c r="E99">
        <v>99</v>
      </c>
    </row>
    <row r="100" spans="1:6">
      <c r="A100" t="s">
        <v>374</v>
      </c>
      <c r="B100" s="272" t="s">
        <v>827</v>
      </c>
      <c r="E100">
        <v>100</v>
      </c>
    </row>
    <row r="101" spans="1:6">
      <c r="A101"/>
      <c r="E101">
        <v>101</v>
      </c>
    </row>
    <row r="102" spans="1:6">
      <c r="A102" t="s">
        <v>383</v>
      </c>
      <c r="B102" s="272" t="s">
        <v>812</v>
      </c>
      <c r="E102">
        <v>102</v>
      </c>
    </row>
    <row r="103" spans="1:6">
      <c r="A103" s="149" t="s">
        <v>669</v>
      </c>
      <c r="B103" s="272" t="s">
        <v>808</v>
      </c>
      <c r="E103">
        <v>103</v>
      </c>
    </row>
  </sheetData>
  <pageMargins left="0.78740157499999996" right="0.78740157499999996" top="0.984251969" bottom="0.984251969" header="0.4921259845" footer="0.4921259845"/>
  <pageSetup paperSize="9" scale="5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F26"/>
  <sheetViews>
    <sheetView workbookViewId="0"/>
  </sheetViews>
  <sheetFormatPr baseColWidth="10" defaultRowHeight="12.75"/>
  <sheetData>
    <row r="2" spans="1:2">
      <c r="A2" t="s">
        <v>570</v>
      </c>
      <c r="B2" t="s">
        <v>571</v>
      </c>
    </row>
    <row r="3" spans="1:2">
      <c r="A3" t="s">
        <v>572</v>
      </c>
      <c r="B3" t="s">
        <v>573</v>
      </c>
    </row>
    <row r="4" spans="1:2">
      <c r="A4" t="s">
        <v>574</v>
      </c>
      <c r="B4" t="s">
        <v>1051</v>
      </c>
    </row>
    <row r="5" spans="1:2">
      <c r="A5" t="s">
        <v>575</v>
      </c>
      <c r="B5" t="s">
        <v>1052</v>
      </c>
    </row>
    <row r="6" spans="1:2">
      <c r="A6" t="s">
        <v>576</v>
      </c>
      <c r="B6" t="s">
        <v>1053</v>
      </c>
    </row>
    <row r="7" spans="1:2">
      <c r="A7" t="s">
        <v>577</v>
      </c>
      <c r="B7" t="s">
        <v>1054</v>
      </c>
    </row>
    <row r="8" spans="1:2">
      <c r="A8" t="s">
        <v>523</v>
      </c>
      <c r="B8" t="s">
        <v>919</v>
      </c>
    </row>
    <row r="9" spans="1:2">
      <c r="A9" t="s">
        <v>524</v>
      </c>
      <c r="B9" t="s">
        <v>525</v>
      </c>
    </row>
    <row r="10" spans="1:2">
      <c r="A10" t="s">
        <v>526</v>
      </c>
      <c r="B10" t="s">
        <v>657</v>
      </c>
    </row>
    <row r="11" spans="1:2">
      <c r="A11" t="s">
        <v>923</v>
      </c>
      <c r="B11" t="s">
        <v>530</v>
      </c>
    </row>
    <row r="12" spans="1:2">
      <c r="A12" t="s">
        <v>527</v>
      </c>
      <c r="B12" t="s">
        <v>528</v>
      </c>
    </row>
    <row r="13" spans="1:2">
      <c r="A13" t="s">
        <v>529</v>
      </c>
      <c r="B13" t="s">
        <v>530</v>
      </c>
    </row>
    <row r="14" spans="1:2">
      <c r="A14" t="s">
        <v>531</v>
      </c>
      <c r="B14" t="s">
        <v>528</v>
      </c>
    </row>
    <row r="15" spans="1:2">
      <c r="A15" t="s">
        <v>596</v>
      </c>
      <c r="B15" t="s">
        <v>532</v>
      </c>
    </row>
    <row r="16" spans="1:2">
      <c r="A16" t="s">
        <v>597</v>
      </c>
      <c r="B16" t="s">
        <v>598</v>
      </c>
    </row>
    <row r="18" spans="1:6" ht="63.75">
      <c r="A18" t="s">
        <v>532</v>
      </c>
      <c r="B18" t="s">
        <v>533</v>
      </c>
      <c r="C18" s="3" t="s">
        <v>1055</v>
      </c>
      <c r="D18" s="3" t="s">
        <v>1056</v>
      </c>
      <c r="E18" s="3" t="s">
        <v>1057</v>
      </c>
      <c r="F18" s="3" t="s">
        <v>1058</v>
      </c>
    </row>
    <row r="19" spans="1:6">
      <c r="A19" t="s">
        <v>35</v>
      </c>
      <c r="B19" t="s">
        <v>2</v>
      </c>
      <c r="C19">
        <v>6.2581373999999997E-3</v>
      </c>
      <c r="D19">
        <v>2.0548559000000001E-2</v>
      </c>
      <c r="E19">
        <v>1.535183E-2</v>
      </c>
      <c r="F19">
        <v>2.6898801E-2</v>
      </c>
    </row>
    <row r="20" spans="1:6">
      <c r="A20" t="s">
        <v>850</v>
      </c>
      <c r="B20" t="s">
        <v>2</v>
      </c>
      <c r="C20">
        <v>4.3261178999999999E-3</v>
      </c>
      <c r="D20">
        <v>1.4761668E-2</v>
      </c>
      <c r="E20">
        <v>9.6104277000000002E-3</v>
      </c>
      <c r="F20">
        <v>1.9428527000000001E-2</v>
      </c>
    </row>
    <row r="21" spans="1:6">
      <c r="A21" t="s">
        <v>270</v>
      </c>
      <c r="B21" t="s">
        <v>2</v>
      </c>
      <c r="C21">
        <v>6.1007434E-4</v>
      </c>
      <c r="D21">
        <v>1.5574205000000001E-3</v>
      </c>
      <c r="E21">
        <v>2.3042980000000002E-3</v>
      </c>
      <c r="F21">
        <v>1.7368215000000001E-3</v>
      </c>
    </row>
    <row r="22" spans="1:6">
      <c r="A22" t="s">
        <v>271</v>
      </c>
      <c r="B22" t="s">
        <v>2</v>
      </c>
      <c r="C22">
        <v>1.3219451E-3</v>
      </c>
      <c r="D22">
        <v>4.2294702E-3</v>
      </c>
      <c r="E22">
        <v>3.4371043E-3</v>
      </c>
      <c r="F22">
        <v>5.7334526000000002E-3</v>
      </c>
    </row>
    <row r="25" spans="1:6" ht="63.75">
      <c r="A25" t="s">
        <v>1060</v>
      </c>
      <c r="C25" s="3" t="s">
        <v>626</v>
      </c>
      <c r="D25" s="3" t="s">
        <v>627</v>
      </c>
      <c r="E25" s="291" t="s">
        <v>974</v>
      </c>
      <c r="F25" s="291" t="s">
        <v>973</v>
      </c>
    </row>
    <row r="26" spans="1:6">
      <c r="C26" s="1">
        <v>6.0137804E-3</v>
      </c>
      <c r="D26" s="1">
        <v>2.0037421E-2</v>
      </c>
      <c r="E26" s="1">
        <v>1.9841408000000001E-2</v>
      </c>
      <c r="F26" s="1">
        <v>3.1588507000000002E-2</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V158"/>
  <sheetViews>
    <sheetView topLeftCell="A2" zoomScale="85" zoomScaleNormal="85" workbookViewId="0">
      <pane xSplit="5" ySplit="3" topLeftCell="F5" activePane="bottomRight" state="frozen"/>
      <selection activeCell="F7" sqref="F7"/>
      <selection pane="topRight" activeCell="F7" sqref="F7"/>
      <selection pane="bottomLeft" activeCell="F7" sqref="F7"/>
      <selection pane="bottomRight" activeCell="H8" sqref="H8"/>
    </sheetView>
  </sheetViews>
  <sheetFormatPr baseColWidth="10" defaultColWidth="11.42578125" defaultRowHeight="12.75" outlineLevelRow="1" outlineLevelCol="2"/>
  <cols>
    <col min="1" max="1" width="46.42578125" style="201" hidden="1" customWidth="1" outlineLevel="1"/>
    <col min="2" max="2" width="35.42578125" style="201" hidden="1" customWidth="1" outlineLevel="1"/>
    <col min="3" max="3" width="62.42578125" style="201" hidden="1" customWidth="1" outlineLevel="1"/>
    <col min="4" max="4" width="35.42578125" style="709" hidden="1" customWidth="1" outlineLevel="1"/>
    <col min="5" max="5" width="100.5703125" style="896" customWidth="1" collapsed="1"/>
    <col min="6" max="6" width="21.7109375" style="896" customWidth="1"/>
    <col min="7" max="7" width="22.5703125" style="896" customWidth="1"/>
    <col min="8" max="8" width="15.5703125" style="896" customWidth="1"/>
    <col min="9" max="9" width="15.85546875" style="896" customWidth="1"/>
    <col min="10" max="10" width="9.7109375" style="896" customWidth="1"/>
    <col min="11" max="11" width="15.28515625" style="896" customWidth="1"/>
    <col min="12" max="12" width="14.28515625" style="896" customWidth="1"/>
    <col min="13" max="13" width="12.7109375" style="896" customWidth="1"/>
    <col min="14" max="17" width="12.7109375" style="896" customWidth="1" outlineLevel="1"/>
    <col min="18" max="18" width="57.42578125" style="896" customWidth="1"/>
    <col min="19" max="19" width="6.5703125" style="626" hidden="1" customWidth="1" outlineLevel="2"/>
    <col min="20" max="20" width="5.42578125" style="626" hidden="1" customWidth="1" outlineLevel="2"/>
    <col min="21" max="21" width="5.7109375" style="626" hidden="1" customWidth="1" outlineLevel="2"/>
    <col min="22" max="22" width="6.5703125" style="626" hidden="1" customWidth="1" outlineLevel="2"/>
    <col min="23" max="23" width="5.42578125" style="626" hidden="1" customWidth="1" outlineLevel="2"/>
    <col min="24" max="24" width="5.7109375" style="626" hidden="1" customWidth="1" outlineLevel="2"/>
    <col min="25" max="25" width="7.28515625" style="626" hidden="1" customWidth="1" outlineLevel="2"/>
    <col min="26" max="26" width="5.42578125" style="626" hidden="1" customWidth="1" outlineLevel="2"/>
    <col min="27" max="28" width="6.5703125" style="626" hidden="1" customWidth="1" outlineLevel="2"/>
    <col min="29" max="29" width="6.5703125" style="732" hidden="1" customWidth="1" outlineLevel="2"/>
    <col min="30" max="30" width="8.5703125" style="732" hidden="1" customWidth="1" outlineLevel="2"/>
    <col min="31" max="31" width="4.140625" style="732" hidden="1" customWidth="1" outlineLevel="2"/>
    <col min="32" max="32" width="5.5703125" style="732" hidden="1" customWidth="1" outlineLevel="2"/>
    <col min="33" max="33" width="7" style="626" hidden="1" customWidth="1" outlineLevel="2"/>
    <col min="34" max="34" width="5.7109375" style="626" hidden="1" customWidth="1" outlineLevel="2"/>
    <col min="35" max="36" width="5.28515625" style="626" hidden="1" customWidth="1" outlineLevel="2"/>
    <col min="37" max="37" width="6.28515625" style="626" hidden="1" customWidth="1" outlineLevel="2"/>
    <col min="38" max="41" width="11.42578125" style="626" hidden="1" customWidth="1" outlineLevel="2"/>
    <col min="42" max="42" width="11.85546875" style="626" hidden="1" customWidth="1" outlineLevel="2"/>
    <col min="43" max="43" width="12.42578125" style="626" hidden="1" customWidth="1" outlineLevel="2"/>
    <col min="44" max="44" width="8.85546875" style="626" hidden="1" customWidth="1" outlineLevel="2"/>
    <col min="45" max="48" width="13.7109375" style="626" hidden="1" customWidth="1" outlineLevel="2"/>
    <col min="49" max="49" width="10.42578125" style="626" hidden="1" customWidth="1" outlineLevel="1"/>
    <col min="50" max="50" width="13" style="626" hidden="1" customWidth="1" outlineLevel="1"/>
    <col min="51" max="51" width="52.7109375" style="626" hidden="1" customWidth="1" outlineLevel="2"/>
    <col min="52" max="53" width="10.42578125" style="626" hidden="1" customWidth="1" outlineLevel="1"/>
    <col min="54" max="54" width="14.85546875" style="626" hidden="1" customWidth="1" outlineLevel="1"/>
    <col min="55" max="55" width="12" style="626" hidden="1" customWidth="1" outlineLevel="1"/>
    <col min="56" max="58" width="11.42578125" style="626" hidden="1" customWidth="1" outlineLevel="1"/>
    <col min="59" max="59" width="23.5703125" style="626" hidden="1" customWidth="1" outlineLevel="2" collapsed="1"/>
    <col min="60" max="71" width="11.42578125" style="626" hidden="1" customWidth="1" outlineLevel="2"/>
    <col min="72" max="73" width="11.42578125" style="626" hidden="1" customWidth="1" outlineLevel="1"/>
    <col min="74" max="74" width="11.42578125" style="896" collapsed="1"/>
    <col min="75" max="16384" width="11.42578125" style="896"/>
  </cols>
  <sheetData>
    <row r="1" spans="1:74" s="584" customFormat="1" hidden="1" outlineLevel="1">
      <c r="A1" s="929"/>
      <c r="B1" s="581"/>
      <c r="C1" s="581"/>
      <c r="D1" s="580"/>
      <c r="E1" s="581"/>
      <c r="F1" s="582"/>
      <c r="G1" s="583">
        <v>37</v>
      </c>
      <c r="H1" s="584">
        <v>38</v>
      </c>
      <c r="I1" s="584">
        <v>39</v>
      </c>
      <c r="J1" s="585">
        <v>40</v>
      </c>
      <c r="K1" s="585">
        <v>92</v>
      </c>
      <c r="S1" s="586"/>
      <c r="T1" s="586"/>
      <c r="U1" s="586"/>
      <c r="V1" s="586"/>
      <c r="W1" s="586"/>
      <c r="X1" s="586"/>
      <c r="Y1" s="586"/>
      <c r="Z1" s="586"/>
      <c r="AA1" s="586"/>
      <c r="AB1" s="586"/>
      <c r="AC1" s="587"/>
      <c r="AD1" s="587"/>
      <c r="AE1" s="587"/>
      <c r="AF1" s="587"/>
      <c r="AG1" s="586"/>
      <c r="AH1" s="586"/>
      <c r="AQ1" s="588"/>
      <c r="AZ1" s="589">
        <f>SimaProEI99</f>
        <v>2</v>
      </c>
      <c r="BA1" s="589">
        <f>AZ1+1</f>
        <v>3</v>
      </c>
      <c r="BB1" s="589">
        <f t="shared" ref="BB1:BC1" si="0">BA1+1</f>
        <v>4</v>
      </c>
      <c r="BC1" s="589">
        <f t="shared" si="0"/>
        <v>5</v>
      </c>
    </row>
    <row r="2" spans="1:74" s="873" customFormat="1" ht="25.5" customHeight="1" collapsed="1">
      <c r="A2" s="930" t="s">
        <v>11</v>
      </c>
      <c r="B2" s="930" t="s">
        <v>2229</v>
      </c>
      <c r="C2" s="938" t="s">
        <v>13</v>
      </c>
      <c r="D2" s="590"/>
      <c r="E2" s="972" t="str">
        <f ca="1">MainInput!G2</f>
        <v>naturemade star certification: Energy products from biogas plants</v>
      </c>
      <c r="F2" s="972"/>
      <c r="G2" s="972"/>
      <c r="H2" s="972"/>
      <c r="I2" s="972"/>
      <c r="J2" s="972"/>
      <c r="K2" s="972">
        <f>name</f>
        <v>0</v>
      </c>
      <c r="L2" s="972"/>
      <c r="S2" s="601"/>
      <c r="T2" s="592"/>
      <c r="U2" s="592"/>
      <c r="V2" s="592"/>
      <c r="W2" s="592"/>
      <c r="X2" s="592"/>
      <c r="Y2" s="592"/>
      <c r="Z2" s="592"/>
      <c r="AA2" s="592"/>
      <c r="AB2" s="593" t="s">
        <v>511</v>
      </c>
      <c r="AC2" s="594"/>
      <c r="AD2" s="594"/>
      <c r="AE2" s="594"/>
      <c r="AF2" s="594"/>
      <c r="AG2" s="592">
        <v>0.6</v>
      </c>
      <c r="AH2" s="592"/>
      <c r="AI2" s="592"/>
      <c r="AJ2" s="592"/>
      <c r="AK2" s="592"/>
      <c r="AL2" s="591"/>
      <c r="AM2" s="595"/>
      <c r="AN2" s="596">
        <v>0.5</v>
      </c>
      <c r="AO2" s="595"/>
      <c r="AP2" s="597">
        <v>0.47</v>
      </c>
      <c r="AQ2" s="597">
        <f>1/6</f>
        <v>0.16666666666666666</v>
      </c>
      <c r="AR2" s="597">
        <f>5/6</f>
        <v>0.83333333333333337</v>
      </c>
      <c r="AS2" s="595"/>
      <c r="AT2" s="595"/>
      <c r="AU2" s="595"/>
      <c r="AV2" s="595"/>
      <c r="AW2" s="598"/>
      <c r="AX2" s="121">
        <v>4</v>
      </c>
      <c r="AY2" s="599"/>
      <c r="AZ2" s="600">
        <f>InputsBG!A39</f>
        <v>39</v>
      </c>
      <c r="BA2" s="121">
        <f>InputsBG!A45</f>
        <v>45</v>
      </c>
      <c r="BB2" s="121">
        <f>InputsBG!A51</f>
        <v>51</v>
      </c>
      <c r="BC2" s="121">
        <f>InputsBG!A57</f>
        <v>57</v>
      </c>
      <c r="BD2" s="601"/>
      <c r="BE2" s="601"/>
      <c r="BF2" s="601"/>
      <c r="BG2" s="591"/>
      <c r="BH2" s="601"/>
      <c r="BI2" s="601"/>
      <c r="BJ2" s="601"/>
      <c r="BK2" s="601"/>
      <c r="BL2" s="601"/>
      <c r="BM2" s="601"/>
      <c r="BN2" s="601"/>
      <c r="BO2" s="601"/>
      <c r="BP2" s="601"/>
      <c r="BQ2" s="601"/>
      <c r="BR2" s="601"/>
      <c r="BS2" s="601"/>
      <c r="BT2" s="601"/>
      <c r="BU2" s="601"/>
    </row>
    <row r="3" spans="1:74" s="873" customFormat="1" ht="13.5" thickBot="1">
      <c r="A3" s="930"/>
      <c r="B3" s="930"/>
      <c r="C3" s="938"/>
      <c r="D3" s="590"/>
      <c r="E3" s="874"/>
      <c r="F3" s="874"/>
      <c r="G3" s="875"/>
      <c r="H3" s="875"/>
      <c r="I3" s="875"/>
      <c r="J3" s="874"/>
      <c r="K3" s="876"/>
      <c r="L3" s="875"/>
      <c r="M3" s="877"/>
      <c r="N3" s="877"/>
      <c r="O3" s="877"/>
      <c r="P3" s="877"/>
      <c r="Q3" s="877"/>
      <c r="R3" s="877"/>
      <c r="S3" s="801"/>
      <c r="T3" s="801"/>
      <c r="U3" s="801"/>
      <c r="V3" s="801"/>
      <c r="W3" s="801"/>
      <c r="X3" s="801"/>
      <c r="Y3" s="801"/>
      <c r="Z3" s="801"/>
      <c r="AA3" s="801"/>
      <c r="AB3" s="801"/>
      <c r="AC3" s="594"/>
      <c r="AD3" s="594"/>
      <c r="AE3" s="594"/>
      <c r="AF3" s="594"/>
      <c r="AG3" s="801"/>
      <c r="AH3" s="801"/>
      <c r="AI3" s="801"/>
      <c r="AJ3" s="801"/>
      <c r="AK3" s="801"/>
      <c r="AL3" s="802"/>
      <c r="AM3" s="803"/>
      <c r="AN3" s="804"/>
      <c r="AO3" s="803"/>
      <c r="AP3" s="803"/>
      <c r="AQ3" s="805"/>
      <c r="AR3" s="805"/>
      <c r="AS3" s="803"/>
      <c r="AT3" s="803"/>
      <c r="AU3" s="803"/>
      <c r="AV3" s="803"/>
      <c r="AW3" s="598"/>
      <c r="AX3" s="1050">
        <f>COLUMN()</f>
        <v>50</v>
      </c>
      <c r="AY3" s="599"/>
      <c r="AZ3" s="600"/>
      <c r="BA3" s="194"/>
      <c r="BB3" s="194"/>
      <c r="BC3" s="194"/>
      <c r="BD3" s="806"/>
      <c r="BE3" s="806"/>
      <c r="BF3" s="806"/>
      <c r="BG3" s="802"/>
      <c r="BH3" s="806"/>
      <c r="BI3" s="806"/>
      <c r="BJ3" s="806"/>
      <c r="BK3" s="806"/>
      <c r="BL3" s="806"/>
      <c r="BM3" s="806"/>
      <c r="BN3" s="806"/>
      <c r="BO3" s="806"/>
      <c r="BP3" s="806"/>
      <c r="BQ3" s="806"/>
      <c r="BR3" s="806"/>
      <c r="BS3" s="806"/>
      <c r="BT3" s="806"/>
      <c r="BU3" s="806"/>
      <c r="BV3" s="875"/>
    </row>
    <row r="4" spans="1:74" s="907" customFormat="1" ht="60.75" thickBot="1">
      <c r="A4" s="673" t="s">
        <v>87</v>
      </c>
      <c r="B4" s="673" t="s">
        <v>88</v>
      </c>
      <c r="C4" s="673" t="s">
        <v>2436</v>
      </c>
      <c r="D4" s="602"/>
      <c r="E4" s="1022" t="str">
        <f t="shared" ref="E4:E38" si="1">IF(sprache=1,A4,IF(sprache=2,B4,C4))</f>
        <v>Raw materials and substrates</v>
      </c>
      <c r="F4" s="1023" t="str">
        <f>INDEX(menuesBG!$1:$1048576,F1,sprache)</f>
        <v>Plant name and reference period</v>
      </c>
      <c r="G4" s="1023" t="str">
        <f>INDEX(menuesBG!$1:$1048576,G1,sprache)</f>
        <v>Financial income (plus) or expense (minus), excluding transport costs</v>
      </c>
      <c r="H4" s="1023" t="str">
        <f>INDEX(menuesBG!$1:$1048576,H1,sprache)</f>
        <v>Simple distance, delivery with tractor</v>
      </c>
      <c r="I4" s="1023" t="str">
        <f>INDEX(menuesBG!$1:$1048576,I1,sprache)</f>
        <v>Simple distance, delivery by truck</v>
      </c>
      <c r="J4" s="1023" t="str">
        <f>INDEX(menuesBG!$1:$1048576,J1,sprache)</f>
        <v>Number of animals</v>
      </c>
      <c r="K4" s="1023" t="str">
        <f>INDEX(menuesBG!$1:$1048576,K1,sprache)</f>
        <v>Percentage of stable housing</v>
      </c>
      <c r="L4" s="1023" t="s">
        <v>69</v>
      </c>
      <c r="M4" s="1023" t="s">
        <v>2226</v>
      </c>
      <c r="N4" s="1023" t="s">
        <v>1838</v>
      </c>
      <c r="O4" s="1023" t="s">
        <v>1675</v>
      </c>
      <c r="P4" s="1023" t="s">
        <v>1675</v>
      </c>
      <c r="Q4" s="1023" t="s">
        <v>1675</v>
      </c>
      <c r="R4" s="1023" t="str">
        <f ca="1">MainInput!N4</f>
        <v>Notes and warnings</v>
      </c>
      <c r="S4" s="603" t="s">
        <v>70</v>
      </c>
      <c r="T4" s="603" t="s">
        <v>70</v>
      </c>
      <c r="U4" s="603" t="s">
        <v>70</v>
      </c>
      <c r="V4" s="603" t="s">
        <v>71</v>
      </c>
      <c r="W4" s="603" t="s">
        <v>71</v>
      </c>
      <c r="X4" s="603" t="s">
        <v>71</v>
      </c>
      <c r="Y4" s="603" t="s">
        <v>112</v>
      </c>
      <c r="Z4" s="603" t="s">
        <v>113</v>
      </c>
      <c r="AA4" s="603" t="s">
        <v>113</v>
      </c>
      <c r="AB4" s="604" t="s">
        <v>512</v>
      </c>
      <c r="AC4" s="605" t="s">
        <v>515</v>
      </c>
      <c r="AD4" s="605" t="s">
        <v>510</v>
      </c>
      <c r="AE4" s="605" t="s">
        <v>516</v>
      </c>
      <c r="AF4" s="605" t="s">
        <v>516</v>
      </c>
      <c r="AG4" s="603" t="s">
        <v>243</v>
      </c>
      <c r="AH4" s="603" t="s">
        <v>72</v>
      </c>
      <c r="AI4" s="603" t="s">
        <v>72</v>
      </c>
      <c r="AJ4" s="606" t="s">
        <v>640</v>
      </c>
      <c r="AK4" s="606" t="s">
        <v>641</v>
      </c>
      <c r="AL4" s="603" t="s">
        <v>73</v>
      </c>
      <c r="AM4" s="607" t="s">
        <v>254</v>
      </c>
      <c r="AN4" s="608" t="s">
        <v>518</v>
      </c>
      <c r="AO4" s="607" t="s">
        <v>253</v>
      </c>
      <c r="AP4" s="607" t="s">
        <v>255</v>
      </c>
      <c r="AQ4" s="608" t="s">
        <v>251</v>
      </c>
      <c r="AR4" s="608" t="s">
        <v>252</v>
      </c>
      <c r="AS4" s="607" t="s">
        <v>250</v>
      </c>
      <c r="AT4" s="607" t="s">
        <v>180</v>
      </c>
      <c r="AU4" s="607" t="s">
        <v>228</v>
      </c>
      <c r="AV4" s="607" t="s">
        <v>232</v>
      </c>
      <c r="AW4" s="598" t="s">
        <v>855</v>
      </c>
      <c r="AX4" s="598" t="s">
        <v>854</v>
      </c>
      <c r="AY4" s="598" t="s">
        <v>856</v>
      </c>
      <c r="AZ4" s="609" t="s">
        <v>68</v>
      </c>
      <c r="BA4" s="610" t="s">
        <v>39</v>
      </c>
      <c r="BB4" s="610" t="s">
        <v>24</v>
      </c>
      <c r="BC4" s="611" t="s">
        <v>1175</v>
      </c>
      <c r="BD4" s="612" t="s">
        <v>1506</v>
      </c>
      <c r="BE4" s="612" t="s">
        <v>979</v>
      </c>
      <c r="BF4" s="612" t="s">
        <v>980</v>
      </c>
      <c r="BG4" s="613" t="s">
        <v>310</v>
      </c>
      <c r="BH4" s="613" t="s">
        <v>311</v>
      </c>
      <c r="BI4" s="613" t="s">
        <v>312</v>
      </c>
      <c r="BJ4" s="613" t="s">
        <v>313</v>
      </c>
      <c r="BK4" s="613" t="s">
        <v>314</v>
      </c>
      <c r="BL4" s="613" t="s">
        <v>315</v>
      </c>
      <c r="BM4" s="613" t="s">
        <v>316</v>
      </c>
      <c r="BN4" s="613" t="s">
        <v>317</v>
      </c>
      <c r="BO4" s="613" t="s">
        <v>318</v>
      </c>
      <c r="BP4" s="613" t="s">
        <v>319</v>
      </c>
      <c r="BQ4" s="613" t="s">
        <v>320</v>
      </c>
      <c r="BR4" s="613" t="s">
        <v>321</v>
      </c>
      <c r="BS4" s="613" t="s">
        <v>322</v>
      </c>
      <c r="BT4" s="614"/>
      <c r="BU4" s="614"/>
    </row>
    <row r="5" spans="1:74" s="907" customFormat="1">
      <c r="A5" s="673"/>
      <c r="B5" s="673"/>
      <c r="C5" s="673"/>
      <c r="D5" s="602"/>
      <c r="E5" s="853"/>
      <c r="F5" s="1024"/>
      <c r="G5" s="1024"/>
      <c r="H5" s="1024"/>
      <c r="I5" s="1024"/>
      <c r="J5" s="1024"/>
      <c r="K5" s="1024"/>
      <c r="L5" s="1024"/>
      <c r="M5" s="1024"/>
      <c r="N5" s="1018"/>
      <c r="O5" s="1018"/>
      <c r="P5" s="1018"/>
      <c r="Q5" s="1018"/>
      <c r="R5" s="1024"/>
      <c r="S5" s="603"/>
      <c r="T5" s="603"/>
      <c r="U5" s="603"/>
      <c r="V5" s="603"/>
      <c r="W5" s="603"/>
      <c r="X5" s="603"/>
      <c r="Y5" s="603"/>
      <c r="Z5" s="603"/>
      <c r="AA5" s="603"/>
      <c r="AB5" s="604"/>
      <c r="AC5" s="605"/>
      <c r="AD5" s="605"/>
      <c r="AE5" s="605"/>
      <c r="AF5" s="605"/>
      <c r="AG5" s="603"/>
      <c r="AH5" s="603"/>
      <c r="AI5" s="603"/>
      <c r="AJ5" s="606"/>
      <c r="AK5" s="606"/>
      <c r="AL5" s="603"/>
      <c r="AM5" s="607"/>
      <c r="AN5" s="608"/>
      <c r="AO5" s="607"/>
      <c r="AP5" s="607"/>
      <c r="AQ5" s="608"/>
      <c r="AR5" s="608"/>
      <c r="AS5" s="607"/>
      <c r="AT5" s="607"/>
      <c r="AU5" s="607"/>
      <c r="AV5" s="607"/>
      <c r="AW5" s="598"/>
      <c r="AX5" s="598"/>
      <c r="AY5" s="598"/>
      <c r="AZ5" s="609"/>
      <c r="BA5" s="610"/>
      <c r="BB5" s="610"/>
      <c r="BC5" s="611"/>
      <c r="BD5" s="612"/>
      <c r="BE5" s="612"/>
      <c r="BF5" s="612"/>
      <c r="BG5" s="787"/>
      <c r="BH5" s="787"/>
      <c r="BI5" s="787"/>
      <c r="BJ5" s="787"/>
      <c r="BK5" s="787"/>
      <c r="BL5" s="787"/>
      <c r="BM5" s="787"/>
      <c r="BN5" s="787"/>
      <c r="BO5" s="787"/>
      <c r="BP5" s="787"/>
      <c r="BQ5" s="787"/>
      <c r="BR5" s="787"/>
      <c r="BS5" s="787"/>
      <c r="BT5" s="614"/>
      <c r="BU5" s="614"/>
    </row>
    <row r="6" spans="1:74" s="908" customFormat="1" ht="15.75">
      <c r="A6" s="673" t="s">
        <v>853</v>
      </c>
      <c r="B6" s="673" t="s">
        <v>90</v>
      </c>
      <c r="C6" s="939" t="s">
        <v>1507</v>
      </c>
      <c r="D6" s="615"/>
      <c r="E6" s="980" t="str">
        <f t="shared" si="1"/>
        <v>Agriculture, manure and slurry from animal husbandry</v>
      </c>
      <c r="F6" s="1017" t="s">
        <v>74</v>
      </c>
      <c r="G6" s="1017" t="e">
        <f>Währung&amp;"/a"</f>
        <v>#N/A</v>
      </c>
      <c r="H6" s="1017" t="s">
        <v>273</v>
      </c>
      <c r="I6" s="1017" t="s">
        <v>273</v>
      </c>
      <c r="J6" s="1017" t="s">
        <v>340</v>
      </c>
      <c r="K6" s="1017" t="s">
        <v>341</v>
      </c>
      <c r="L6" s="1017" t="s">
        <v>75</v>
      </c>
      <c r="M6" s="1017" t="s">
        <v>1683</v>
      </c>
      <c r="N6" s="980"/>
      <c r="O6" s="980"/>
      <c r="P6" s="980"/>
      <c r="Q6" s="980"/>
      <c r="R6" s="1017"/>
      <c r="S6" s="618" t="s">
        <v>77</v>
      </c>
      <c r="T6" s="618" t="s">
        <v>78</v>
      </c>
      <c r="U6" s="618" t="s">
        <v>79</v>
      </c>
      <c r="V6" s="618" t="s">
        <v>80</v>
      </c>
      <c r="W6" s="618" t="s">
        <v>78</v>
      </c>
      <c r="X6" s="618" t="s">
        <v>79</v>
      </c>
      <c r="Y6" s="618" t="s">
        <v>80</v>
      </c>
      <c r="Z6" s="618" t="s">
        <v>78</v>
      </c>
      <c r="AA6" s="618" t="s">
        <v>79</v>
      </c>
      <c r="AB6" s="617" t="s">
        <v>341</v>
      </c>
      <c r="AC6" s="619" t="s">
        <v>517</v>
      </c>
      <c r="AD6" s="619" t="s">
        <v>81</v>
      </c>
      <c r="AE6" s="619" t="s">
        <v>78</v>
      </c>
      <c r="AF6" s="619" t="s">
        <v>79</v>
      </c>
      <c r="AG6" s="618" t="s">
        <v>114</v>
      </c>
      <c r="AH6" s="618" t="s">
        <v>78</v>
      </c>
      <c r="AI6" s="618" t="s">
        <v>79</v>
      </c>
      <c r="AJ6" s="620" t="s">
        <v>341</v>
      </c>
      <c r="AK6" s="620" t="s">
        <v>642</v>
      </c>
      <c r="AL6" s="616" t="s">
        <v>76</v>
      </c>
      <c r="AM6" s="621" t="s">
        <v>76</v>
      </c>
      <c r="AN6" s="621" t="s">
        <v>76</v>
      </c>
      <c r="AO6" s="621" t="s">
        <v>76</v>
      </c>
      <c r="AP6" s="621" t="s">
        <v>76</v>
      </c>
      <c r="AQ6" s="621" t="s">
        <v>76</v>
      </c>
      <c r="AR6" s="621" t="s">
        <v>76</v>
      </c>
      <c r="AS6" s="621" t="s">
        <v>76</v>
      </c>
      <c r="AT6" s="621" t="s">
        <v>76</v>
      </c>
      <c r="AU6" s="621" t="s">
        <v>76</v>
      </c>
      <c r="AV6" s="621" t="s">
        <v>76</v>
      </c>
      <c r="AW6" s="598" t="e">
        <f>Währung&amp;"/kg"</f>
        <v>#N/A</v>
      </c>
      <c r="AX6" s="598" t="e">
        <f>Währung&amp;"/kg"</f>
        <v>#N/A</v>
      </c>
      <c r="AY6" s="598"/>
      <c r="AZ6" s="609" t="s">
        <v>300</v>
      </c>
      <c r="BA6" s="622" t="s">
        <v>47</v>
      </c>
      <c r="BB6" s="622" t="s">
        <v>46</v>
      </c>
      <c r="BC6" s="622" t="s">
        <v>48</v>
      </c>
      <c r="BD6" s="623" t="s">
        <v>75</v>
      </c>
      <c r="BE6" s="623" t="s">
        <v>341</v>
      </c>
      <c r="BF6" s="623" t="s">
        <v>341</v>
      </c>
      <c r="BG6" s="624"/>
      <c r="BH6" s="623"/>
      <c r="BI6" s="623"/>
      <c r="BJ6" s="623"/>
      <c r="BK6" s="623"/>
      <c r="BL6" s="623"/>
      <c r="BM6" s="623"/>
      <c r="BN6" s="623"/>
      <c r="BO6" s="623"/>
      <c r="BP6" s="623"/>
      <c r="BQ6" s="623"/>
      <c r="BR6" s="623"/>
      <c r="BS6" s="623"/>
      <c r="BT6" s="623"/>
      <c r="BU6" s="623"/>
    </row>
    <row r="7" spans="1:74" s="908" customFormat="1">
      <c r="A7" s="808" t="s">
        <v>1836</v>
      </c>
      <c r="B7" s="673" t="s">
        <v>2230</v>
      </c>
      <c r="C7" s="939" t="s">
        <v>2231</v>
      </c>
      <c r="D7" s="615"/>
      <c r="E7" s="1025" t="str">
        <f t="shared" si="1"/>
        <v>If number of animals unknown estimate value for animals by trying on numbers until tonnes are correct</v>
      </c>
      <c r="F7" s="853"/>
      <c r="G7" s="853"/>
      <c r="H7" s="853"/>
      <c r="I7" s="853"/>
      <c r="J7" s="853"/>
      <c r="K7" s="853"/>
      <c r="L7" s="853"/>
      <c r="M7" s="853"/>
      <c r="N7" s="853"/>
      <c r="O7" s="853"/>
      <c r="P7" s="853"/>
      <c r="Q7" s="853"/>
      <c r="R7" s="853"/>
      <c r="S7" s="618"/>
      <c r="T7" s="618"/>
      <c r="U7" s="618"/>
      <c r="V7" s="618"/>
      <c r="W7" s="618"/>
      <c r="X7" s="618"/>
      <c r="Y7" s="618"/>
      <c r="Z7" s="618"/>
      <c r="AA7" s="618"/>
      <c r="AB7" s="617"/>
      <c r="AC7" s="619"/>
      <c r="AD7" s="619"/>
      <c r="AE7" s="619"/>
      <c r="AF7" s="619"/>
      <c r="AG7" s="618"/>
      <c r="AH7" s="618"/>
      <c r="AI7" s="618"/>
      <c r="AJ7" s="786"/>
      <c r="AK7" s="786"/>
      <c r="AL7" s="616"/>
      <c r="AM7" s="621"/>
      <c r="AN7" s="621"/>
      <c r="AO7" s="621"/>
      <c r="AP7" s="621"/>
      <c r="AQ7" s="621"/>
      <c r="AR7" s="621"/>
      <c r="AS7" s="621"/>
      <c r="AT7" s="621"/>
      <c r="AU7" s="621"/>
      <c r="AV7" s="621"/>
      <c r="AW7" s="598"/>
      <c r="AX7" s="598"/>
      <c r="AY7" s="598"/>
      <c r="AZ7" s="609"/>
      <c r="BA7" s="622"/>
      <c r="BB7" s="622"/>
      <c r="BC7" s="622"/>
      <c r="BD7" s="623"/>
      <c r="BE7" s="623"/>
      <c r="BF7" s="623"/>
      <c r="BG7" s="624"/>
      <c r="BH7" s="623"/>
      <c r="BI7" s="623"/>
      <c r="BJ7" s="623"/>
      <c r="BK7" s="623"/>
      <c r="BL7" s="623"/>
      <c r="BM7" s="623"/>
      <c r="BN7" s="623"/>
      <c r="BO7" s="623"/>
      <c r="BP7" s="623"/>
      <c r="BQ7" s="623"/>
      <c r="BR7" s="623"/>
      <c r="BS7" s="623"/>
      <c r="BT7" s="623"/>
      <c r="BU7" s="623"/>
    </row>
    <row r="8" spans="1:74" s="878" customFormat="1">
      <c r="A8" s="673" t="s">
        <v>323</v>
      </c>
      <c r="B8" s="673" t="s">
        <v>418</v>
      </c>
      <c r="C8" s="201" t="s">
        <v>1508</v>
      </c>
      <c r="D8" s="625"/>
      <c r="E8" s="819" t="str">
        <f t="shared" si="1"/>
        <v>Dairy cow</v>
      </c>
      <c r="F8" s="904">
        <f t="shared" ref="F8:F22" si="2">BK8+BN8</f>
        <v>0</v>
      </c>
      <c r="G8" s="905">
        <v>0</v>
      </c>
      <c r="H8" s="906">
        <v>0</v>
      </c>
      <c r="I8" s="906">
        <v>0</v>
      </c>
      <c r="J8" s="799">
        <v>0</v>
      </c>
      <c r="K8" s="800">
        <v>1</v>
      </c>
      <c r="L8" s="885">
        <f>F8*S8*V8/10</f>
        <v>0</v>
      </c>
      <c r="M8" s="899">
        <f t="shared" ref="M8:M22" si="3">(BR8+BS8)/CH4inBG</f>
        <v>0</v>
      </c>
      <c r="N8" s="903"/>
      <c r="O8" s="899"/>
      <c r="P8" s="899"/>
      <c r="Q8" s="899"/>
      <c r="R8" s="899"/>
      <c r="S8" s="627">
        <v>8.6</v>
      </c>
      <c r="T8" s="628"/>
      <c r="U8" s="628"/>
      <c r="V8" s="627">
        <v>78.5</v>
      </c>
      <c r="W8" s="628"/>
      <c r="X8" s="628"/>
      <c r="Y8" s="629">
        <f>(Z8+AA8)/2</f>
        <v>4.6500000000000004</v>
      </c>
      <c r="Z8" s="627">
        <v>2.6</v>
      </c>
      <c r="AA8" s="627">
        <v>6.7</v>
      </c>
      <c r="AB8" s="630">
        <v>53.763440860215049</v>
      </c>
      <c r="AC8" s="631">
        <f>AD8*Y8</f>
        <v>2.3250000000000002</v>
      </c>
      <c r="AD8" s="632">
        <v>0.5</v>
      </c>
      <c r="AE8" s="633">
        <v>39</v>
      </c>
      <c r="AF8" s="633">
        <v>41</v>
      </c>
      <c r="AG8" s="627">
        <v>400</v>
      </c>
      <c r="AH8" s="629"/>
      <c r="AI8" s="629"/>
      <c r="AJ8" s="627">
        <v>55</v>
      </c>
      <c r="AK8" s="630">
        <f>AJ8*$AG8/100</f>
        <v>220</v>
      </c>
      <c r="AL8" s="634">
        <f t="shared" ref="AL8:AL22" si="4">L8*50%*28.62%*12.5%</f>
        <v>0</v>
      </c>
      <c r="AM8" s="635">
        <f t="shared" ref="AM8:AM22" si="5">L8*0.075*24%*0.78*(1+Referenz_CH4_Güllelager)</f>
        <v>0</v>
      </c>
      <c r="AN8" s="636">
        <f t="shared" ref="AN8:AN22" si="6">F8*1000*S8/100*Y8/100*AB8/100*NH3emittiert*AnteilNH3Lagerung*(1+Referenz_NH3_Gülle)</f>
        <v>0</v>
      </c>
      <c r="AO8" s="637">
        <f t="shared" ref="AO8:AO22" si="7">F8*N2O_Gülle*(1+Referenz_N2O_Gülle)</f>
        <v>0</v>
      </c>
      <c r="AP8" s="638" t="e">
        <f t="shared" ref="AP8:AP22" si="8">$M8*CH4_Gehalt*CH4_nichtabgedeckt*(1+Faktor_CH4_flüssig)*GärrestFlüssigMenge/(GärrestFestMenge+GärrestFlüssigMenge)</f>
        <v>#N/A</v>
      </c>
      <c r="AQ8" s="639" t="e">
        <f>F8*1000*S8/100*Y8/100*AB8/100*NH3emittiert*AnteilNH3Lagerung*(1+NH3plus)*((1+Faktor_NH3_Behandlung)*Anteil_V_fest+(1+FaktorNH3GülleBehandlung)*Anteil_V_flüssig)</f>
        <v>#N/A</v>
      </c>
      <c r="AR8" s="640" t="e">
        <f t="shared" ref="AR8:AR22" si="9">IF(AR$137,F8*1000*S8/100*Y8/100*AB8/100*NH3emittiert*AR$2*(1+NH3plusAusbringung)*((1+Faktor_NH3fest_aus)*Anteil_V_fest+(1+Faktor_NH3_Ausbringung)*Anteil_V_flüssig),0)</f>
        <v>#N/A</v>
      </c>
      <c r="AS8" s="641" t="e">
        <f t="shared" ref="AS8:AS22" si="10">F8*(N2O_Gülle*Anteil_V_flüssig*(1+Faktor_N2O_GülleBehandlung)+N2O_Kompost*Anteil_V_fest*(1+Faktor_N2O_Behandlung))</f>
        <v>#DIV/0!</v>
      </c>
      <c r="AT8" s="642"/>
      <c r="AU8" s="642"/>
      <c r="AV8" s="642"/>
      <c r="AW8" s="643">
        <f>IF(F8&gt;0,G8/F8/1000,0)</f>
        <v>0</v>
      </c>
      <c r="AX8" s="643">
        <v>0</v>
      </c>
      <c r="AY8" s="584"/>
      <c r="AZ8" s="644"/>
      <c r="BA8" s="644"/>
      <c r="BB8" s="644"/>
      <c r="BC8" s="644"/>
      <c r="BD8" s="645"/>
      <c r="BE8" s="645" t="e">
        <f t="shared" ref="BE8:BE40" si="11">M8/Gasertrag_berechnet</f>
        <v>#DIV/0!</v>
      </c>
      <c r="BF8" s="645" t="e">
        <f t="shared" ref="BF8:BF40" si="12">AZ8/Belastung_Substrat</f>
        <v>#DIV/0!</v>
      </c>
      <c r="BG8" s="646">
        <v>1</v>
      </c>
      <c r="BH8" s="646">
        <f>J8*BG8</f>
        <v>0</v>
      </c>
      <c r="BI8" s="646">
        <v>16.5</v>
      </c>
      <c r="BJ8" s="646">
        <v>5</v>
      </c>
      <c r="BK8" s="647">
        <f>BI8*K8*J8</f>
        <v>0</v>
      </c>
      <c r="BL8" s="648"/>
      <c r="BM8" s="647">
        <f>BK8+BL8</f>
        <v>0</v>
      </c>
      <c r="BN8" s="647">
        <f t="shared" ref="BN8:BN22" si="13">BJ8*K8*J8</f>
        <v>0</v>
      </c>
      <c r="BO8" s="649">
        <f t="shared" ref="BO8:BO22" si="14">BM8+BN8</f>
        <v>0</v>
      </c>
      <c r="BP8" s="647">
        <v>13</v>
      </c>
      <c r="BQ8" s="647">
        <v>35</v>
      </c>
      <c r="BR8" s="650">
        <f>BK8*BP8</f>
        <v>0</v>
      </c>
      <c r="BS8" s="650">
        <f>BN8*BQ8</f>
        <v>0</v>
      </c>
      <c r="BT8" s="584"/>
      <c r="BU8" s="584"/>
    </row>
    <row r="9" spans="1:74" s="878" customFormat="1">
      <c r="A9" s="673" t="s">
        <v>324</v>
      </c>
      <c r="B9" s="673" t="s">
        <v>419</v>
      </c>
      <c r="C9" s="201" t="s">
        <v>1623</v>
      </c>
      <c r="D9" s="625"/>
      <c r="E9" s="819" t="str">
        <f t="shared" si="1"/>
        <v>Suckle cow (heavy)</v>
      </c>
      <c r="F9" s="904">
        <f t="shared" si="2"/>
        <v>0</v>
      </c>
      <c r="G9" s="905">
        <v>0</v>
      </c>
      <c r="H9" s="906">
        <v>0</v>
      </c>
      <c r="I9" s="906">
        <v>0</v>
      </c>
      <c r="J9" s="799">
        <v>0</v>
      </c>
      <c r="K9" s="800">
        <v>1</v>
      </c>
      <c r="L9" s="885">
        <f t="shared" ref="L9:L22" si="15">F9*S9*V9/10</f>
        <v>0</v>
      </c>
      <c r="M9" s="899">
        <f t="shared" si="3"/>
        <v>0</v>
      </c>
      <c r="N9" s="899"/>
      <c r="O9" s="899"/>
      <c r="P9" s="899"/>
      <c r="Q9" s="899"/>
      <c r="R9" s="903"/>
      <c r="S9" s="627">
        <v>8.6</v>
      </c>
      <c r="T9" s="628"/>
      <c r="U9" s="628"/>
      <c r="V9" s="627">
        <v>78.5</v>
      </c>
      <c r="W9" s="628"/>
      <c r="X9" s="628"/>
      <c r="Y9" s="629">
        <f t="shared" ref="Y9:Y22" si="16">(Z9+AA9)/2</f>
        <v>4.6500000000000004</v>
      </c>
      <c r="Z9" s="627">
        <v>2.6</v>
      </c>
      <c r="AA9" s="627">
        <v>6.7</v>
      </c>
      <c r="AB9" s="630">
        <v>53.763440860215049</v>
      </c>
      <c r="AC9" s="631">
        <f t="shared" ref="AC9:AC22" si="17">AD9*Y9</f>
        <v>2.3250000000000002</v>
      </c>
      <c r="AD9" s="632">
        <v>0.5</v>
      </c>
      <c r="AE9" s="633">
        <v>39</v>
      </c>
      <c r="AF9" s="633">
        <v>41</v>
      </c>
      <c r="AG9" s="627">
        <v>400</v>
      </c>
      <c r="AH9" s="629"/>
      <c r="AI9" s="629"/>
      <c r="AJ9" s="627">
        <v>55</v>
      </c>
      <c r="AK9" s="630">
        <f t="shared" ref="AK9:AK21" si="18">AJ9*$AG9/100</f>
        <v>220</v>
      </c>
      <c r="AL9" s="634">
        <f t="shared" si="4"/>
        <v>0</v>
      </c>
      <c r="AM9" s="635">
        <f t="shared" si="5"/>
        <v>0</v>
      </c>
      <c r="AN9" s="636">
        <f t="shared" si="6"/>
        <v>0</v>
      </c>
      <c r="AO9" s="637">
        <f t="shared" si="7"/>
        <v>0</v>
      </c>
      <c r="AP9" s="638" t="e">
        <f t="shared" si="8"/>
        <v>#N/A</v>
      </c>
      <c r="AQ9" s="639" t="e">
        <f t="shared" ref="AQ9:AQ22" si="19">F9*1000*S9/100*Y9/100*AB9/100*NH3emittiert*AnteilNH3Lagerung*(1+NH3plus)*((1+Faktor_NH3_Behandlung)*Anteil_V_fest+(1+FaktorNH3GülleBehandlung)*Anteil_V_flüssig)</f>
        <v>#N/A</v>
      </c>
      <c r="AR9" s="640" t="e">
        <f t="shared" si="9"/>
        <v>#N/A</v>
      </c>
      <c r="AS9" s="641" t="e">
        <f t="shared" si="10"/>
        <v>#DIV/0!</v>
      </c>
      <c r="AT9" s="642"/>
      <c r="AU9" s="642"/>
      <c r="AV9" s="642"/>
      <c r="AW9" s="643">
        <f t="shared" ref="AW9:AW74" si="20">IF(F9&gt;0,G9/F9/1000,0)</f>
        <v>0</v>
      </c>
      <c r="AX9" s="643">
        <v>0</v>
      </c>
      <c r="AY9" s="584"/>
      <c r="AZ9" s="644"/>
      <c r="BA9" s="644"/>
      <c r="BB9" s="644"/>
      <c r="BC9" s="644"/>
      <c r="BD9" s="645"/>
      <c r="BE9" s="645" t="e">
        <f t="shared" si="11"/>
        <v>#DIV/0!</v>
      </c>
      <c r="BF9" s="645" t="e">
        <f t="shared" si="12"/>
        <v>#DIV/0!</v>
      </c>
      <c r="BG9" s="646">
        <v>0.8</v>
      </c>
      <c r="BH9" s="646">
        <f t="shared" ref="BH9:BH22" si="21">J9*BG9</f>
        <v>0</v>
      </c>
      <c r="BI9" s="646">
        <v>11.6</v>
      </c>
      <c r="BJ9" s="646">
        <v>3.5</v>
      </c>
      <c r="BK9" s="647">
        <f t="shared" ref="BK9:BK22" si="22">BI9*K9*J9</f>
        <v>0</v>
      </c>
      <c r="BL9" s="648">
        <f t="shared" ref="BL9:BL22" si="23">BK9</f>
        <v>0</v>
      </c>
      <c r="BM9" s="647">
        <f t="shared" ref="BM9:BM22" si="24">BK9+BL9</f>
        <v>0</v>
      </c>
      <c r="BN9" s="647">
        <f t="shared" si="13"/>
        <v>0</v>
      </c>
      <c r="BO9" s="649">
        <f t="shared" si="14"/>
        <v>0</v>
      </c>
      <c r="BP9" s="647">
        <v>13</v>
      </c>
      <c r="BQ9" s="647">
        <v>35</v>
      </c>
      <c r="BR9" s="650">
        <f t="shared" ref="BR9:BR22" si="25">BK9*BP9</f>
        <v>0</v>
      </c>
      <c r="BS9" s="650">
        <f t="shared" ref="BS9:BS22" si="26">BN9*BQ9</f>
        <v>0</v>
      </c>
      <c r="BT9" s="584"/>
      <c r="BU9" s="584"/>
    </row>
    <row r="10" spans="1:74" s="878" customFormat="1">
      <c r="A10" s="673" t="s">
        <v>325</v>
      </c>
      <c r="B10" s="673" t="s">
        <v>420</v>
      </c>
      <c r="C10" s="201" t="s">
        <v>1509</v>
      </c>
      <c r="D10" s="625"/>
      <c r="E10" s="819" t="str">
        <f t="shared" si="1"/>
        <v>Young cattle &lt; 1 year old</v>
      </c>
      <c r="F10" s="904">
        <f t="shared" si="2"/>
        <v>0</v>
      </c>
      <c r="G10" s="905">
        <v>0</v>
      </c>
      <c r="H10" s="906">
        <v>0</v>
      </c>
      <c r="I10" s="906">
        <v>0</v>
      </c>
      <c r="J10" s="799">
        <v>0</v>
      </c>
      <c r="K10" s="800">
        <v>1</v>
      </c>
      <c r="L10" s="885">
        <f t="shared" si="15"/>
        <v>0</v>
      </c>
      <c r="M10" s="899">
        <f t="shared" si="3"/>
        <v>0</v>
      </c>
      <c r="N10" s="899"/>
      <c r="O10" s="899"/>
      <c r="P10" s="899"/>
      <c r="Q10" s="899"/>
      <c r="R10" s="899"/>
      <c r="S10" s="627">
        <v>8.6</v>
      </c>
      <c r="T10" s="628"/>
      <c r="U10" s="628"/>
      <c r="V10" s="627">
        <v>78.5</v>
      </c>
      <c r="W10" s="628"/>
      <c r="X10" s="628"/>
      <c r="Y10" s="629">
        <f t="shared" si="16"/>
        <v>4.6500000000000004</v>
      </c>
      <c r="Z10" s="627">
        <v>2.6</v>
      </c>
      <c r="AA10" s="627">
        <v>6.7</v>
      </c>
      <c r="AB10" s="630">
        <v>53.763440860215049</v>
      </c>
      <c r="AC10" s="631">
        <f t="shared" si="17"/>
        <v>2.3250000000000002</v>
      </c>
      <c r="AD10" s="632">
        <v>0.5</v>
      </c>
      <c r="AE10" s="633">
        <v>39</v>
      </c>
      <c r="AF10" s="633">
        <v>41</v>
      </c>
      <c r="AG10" s="627">
        <v>400</v>
      </c>
      <c r="AH10" s="629"/>
      <c r="AI10" s="629"/>
      <c r="AJ10" s="627">
        <v>55</v>
      </c>
      <c r="AK10" s="630">
        <f t="shared" si="18"/>
        <v>220</v>
      </c>
      <c r="AL10" s="634">
        <f t="shared" si="4"/>
        <v>0</v>
      </c>
      <c r="AM10" s="635">
        <f t="shared" si="5"/>
        <v>0</v>
      </c>
      <c r="AN10" s="636">
        <f t="shared" si="6"/>
        <v>0</v>
      </c>
      <c r="AO10" s="637">
        <f t="shared" si="7"/>
        <v>0</v>
      </c>
      <c r="AP10" s="638" t="e">
        <f t="shared" si="8"/>
        <v>#N/A</v>
      </c>
      <c r="AQ10" s="639" t="e">
        <f t="shared" si="19"/>
        <v>#N/A</v>
      </c>
      <c r="AR10" s="640" t="e">
        <f t="shared" si="9"/>
        <v>#N/A</v>
      </c>
      <c r="AS10" s="641" t="e">
        <f t="shared" si="10"/>
        <v>#DIV/0!</v>
      </c>
      <c r="AT10" s="642"/>
      <c r="AU10" s="642"/>
      <c r="AV10" s="642"/>
      <c r="AW10" s="643">
        <f t="shared" si="20"/>
        <v>0</v>
      </c>
      <c r="AX10" s="643">
        <v>0</v>
      </c>
      <c r="AY10" s="584"/>
      <c r="AZ10" s="644"/>
      <c r="BA10" s="644"/>
      <c r="BB10" s="644"/>
      <c r="BC10" s="644"/>
      <c r="BD10" s="645"/>
      <c r="BE10" s="645" t="e">
        <f t="shared" si="11"/>
        <v>#DIV/0!</v>
      </c>
      <c r="BF10" s="645" t="e">
        <f t="shared" si="12"/>
        <v>#DIV/0!</v>
      </c>
      <c r="BG10" s="646">
        <v>0.25</v>
      </c>
      <c r="BH10" s="646">
        <f t="shared" si="21"/>
        <v>0</v>
      </c>
      <c r="BI10" s="646">
        <v>4.0999999999999996</v>
      </c>
      <c r="BJ10" s="646">
        <v>1.3</v>
      </c>
      <c r="BK10" s="647">
        <f t="shared" si="22"/>
        <v>0</v>
      </c>
      <c r="BL10" s="648">
        <f t="shared" si="23"/>
        <v>0</v>
      </c>
      <c r="BM10" s="647">
        <f t="shared" si="24"/>
        <v>0</v>
      </c>
      <c r="BN10" s="647">
        <f t="shared" si="13"/>
        <v>0</v>
      </c>
      <c r="BO10" s="649">
        <f t="shared" si="14"/>
        <v>0</v>
      </c>
      <c r="BP10" s="647">
        <v>13</v>
      </c>
      <c r="BQ10" s="647">
        <v>35</v>
      </c>
      <c r="BR10" s="650">
        <f t="shared" si="25"/>
        <v>0</v>
      </c>
      <c r="BS10" s="650">
        <f t="shared" si="26"/>
        <v>0</v>
      </c>
      <c r="BT10" s="584"/>
      <c r="BU10" s="584"/>
    </row>
    <row r="11" spans="1:74" s="878" customFormat="1">
      <c r="A11" s="673" t="s">
        <v>326</v>
      </c>
      <c r="B11" s="673" t="s">
        <v>421</v>
      </c>
      <c r="C11" s="201" t="s">
        <v>1510</v>
      </c>
      <c r="D11" s="625"/>
      <c r="E11" s="819" t="str">
        <f t="shared" si="1"/>
        <v>Young cattle 1 - 2 years old</v>
      </c>
      <c r="F11" s="904">
        <f t="shared" si="2"/>
        <v>0</v>
      </c>
      <c r="G11" s="905">
        <v>0</v>
      </c>
      <c r="H11" s="906">
        <v>0</v>
      </c>
      <c r="I11" s="906">
        <v>0</v>
      </c>
      <c r="J11" s="799">
        <v>0</v>
      </c>
      <c r="K11" s="800">
        <v>1</v>
      </c>
      <c r="L11" s="885">
        <f t="shared" si="15"/>
        <v>0</v>
      </c>
      <c r="M11" s="899">
        <f t="shared" si="3"/>
        <v>0</v>
      </c>
      <c r="N11" s="899"/>
      <c r="O11" s="899"/>
      <c r="P11" s="899"/>
      <c r="Q11" s="899"/>
      <c r="R11" s="899"/>
      <c r="S11" s="627">
        <v>8.6</v>
      </c>
      <c r="T11" s="628"/>
      <c r="U11" s="628"/>
      <c r="V11" s="627">
        <v>78.5</v>
      </c>
      <c r="W11" s="628"/>
      <c r="X11" s="628"/>
      <c r="Y11" s="629">
        <f t="shared" si="16"/>
        <v>4.6500000000000004</v>
      </c>
      <c r="Z11" s="627">
        <v>2.6</v>
      </c>
      <c r="AA11" s="627">
        <v>6.7</v>
      </c>
      <c r="AB11" s="630">
        <v>53.763440860215049</v>
      </c>
      <c r="AC11" s="631">
        <f t="shared" si="17"/>
        <v>2.3250000000000002</v>
      </c>
      <c r="AD11" s="632">
        <v>0.5</v>
      </c>
      <c r="AE11" s="633">
        <v>39</v>
      </c>
      <c r="AF11" s="633">
        <v>41</v>
      </c>
      <c r="AG11" s="627">
        <v>400</v>
      </c>
      <c r="AH11" s="629"/>
      <c r="AI11" s="629"/>
      <c r="AJ11" s="627">
        <v>55</v>
      </c>
      <c r="AK11" s="630">
        <f t="shared" si="18"/>
        <v>220</v>
      </c>
      <c r="AL11" s="634">
        <f t="shared" si="4"/>
        <v>0</v>
      </c>
      <c r="AM11" s="635">
        <f t="shared" si="5"/>
        <v>0</v>
      </c>
      <c r="AN11" s="636">
        <f t="shared" si="6"/>
        <v>0</v>
      </c>
      <c r="AO11" s="637">
        <f t="shared" si="7"/>
        <v>0</v>
      </c>
      <c r="AP11" s="638" t="e">
        <f t="shared" si="8"/>
        <v>#N/A</v>
      </c>
      <c r="AQ11" s="639" t="e">
        <f t="shared" si="19"/>
        <v>#N/A</v>
      </c>
      <c r="AR11" s="640" t="e">
        <f t="shared" si="9"/>
        <v>#N/A</v>
      </c>
      <c r="AS11" s="641" t="e">
        <f t="shared" si="10"/>
        <v>#DIV/0!</v>
      </c>
      <c r="AT11" s="642"/>
      <c r="AU11" s="642"/>
      <c r="AV11" s="642"/>
      <c r="AW11" s="643">
        <f t="shared" si="20"/>
        <v>0</v>
      </c>
      <c r="AX11" s="643">
        <v>0</v>
      </c>
      <c r="AY11" s="584"/>
      <c r="AZ11" s="644"/>
      <c r="BA11" s="644"/>
      <c r="BB11" s="644"/>
      <c r="BC11" s="644"/>
      <c r="BD11" s="645"/>
      <c r="BE11" s="645" t="e">
        <f t="shared" si="11"/>
        <v>#DIV/0!</v>
      </c>
      <c r="BF11" s="645" t="e">
        <f t="shared" si="12"/>
        <v>#DIV/0!</v>
      </c>
      <c r="BG11" s="646">
        <v>0.4</v>
      </c>
      <c r="BH11" s="646">
        <f t="shared" si="21"/>
        <v>0</v>
      </c>
      <c r="BI11" s="646">
        <v>6</v>
      </c>
      <c r="BJ11" s="646">
        <v>1.8</v>
      </c>
      <c r="BK11" s="647">
        <f t="shared" si="22"/>
        <v>0</v>
      </c>
      <c r="BL11" s="648">
        <f t="shared" si="23"/>
        <v>0</v>
      </c>
      <c r="BM11" s="647">
        <f t="shared" si="24"/>
        <v>0</v>
      </c>
      <c r="BN11" s="647">
        <f t="shared" si="13"/>
        <v>0</v>
      </c>
      <c r="BO11" s="649">
        <f t="shared" si="14"/>
        <v>0</v>
      </c>
      <c r="BP11" s="647">
        <v>13</v>
      </c>
      <c r="BQ11" s="647">
        <v>35</v>
      </c>
      <c r="BR11" s="650">
        <f t="shared" si="25"/>
        <v>0</v>
      </c>
      <c r="BS11" s="650">
        <f t="shared" si="26"/>
        <v>0</v>
      </c>
      <c r="BT11" s="584"/>
      <c r="BU11" s="584"/>
    </row>
    <row r="12" spans="1:74" s="878" customFormat="1">
      <c r="A12" s="673" t="s">
        <v>327</v>
      </c>
      <c r="B12" s="673" t="s">
        <v>422</v>
      </c>
      <c r="C12" s="201" t="s">
        <v>1511</v>
      </c>
      <c r="D12" s="625"/>
      <c r="E12" s="819" t="str">
        <f t="shared" si="1"/>
        <v>Bulls and cattle &gt; 2 years old</v>
      </c>
      <c r="F12" s="904">
        <f t="shared" si="2"/>
        <v>0</v>
      </c>
      <c r="G12" s="905">
        <v>0</v>
      </c>
      <c r="H12" s="906">
        <v>0</v>
      </c>
      <c r="I12" s="906">
        <v>0</v>
      </c>
      <c r="J12" s="799">
        <v>0</v>
      </c>
      <c r="K12" s="800">
        <v>1</v>
      </c>
      <c r="L12" s="885">
        <f t="shared" si="15"/>
        <v>0</v>
      </c>
      <c r="M12" s="899">
        <f t="shared" si="3"/>
        <v>0</v>
      </c>
      <c r="N12" s="899"/>
      <c r="O12" s="899"/>
      <c r="P12" s="899"/>
      <c r="Q12" s="899"/>
      <c r="R12" s="899"/>
      <c r="S12" s="627">
        <v>8.6</v>
      </c>
      <c r="T12" s="628"/>
      <c r="U12" s="628"/>
      <c r="V12" s="627">
        <v>78.5</v>
      </c>
      <c r="W12" s="628"/>
      <c r="X12" s="628"/>
      <c r="Y12" s="629">
        <f t="shared" si="16"/>
        <v>4.6500000000000004</v>
      </c>
      <c r="Z12" s="627">
        <v>2.6</v>
      </c>
      <c r="AA12" s="627">
        <v>6.7</v>
      </c>
      <c r="AB12" s="630">
        <v>53.763440860215049</v>
      </c>
      <c r="AC12" s="631">
        <f t="shared" si="17"/>
        <v>3.0225000000000004</v>
      </c>
      <c r="AD12" s="632">
        <v>0.65</v>
      </c>
      <c r="AE12" s="633">
        <v>39</v>
      </c>
      <c r="AF12" s="633">
        <v>60</v>
      </c>
      <c r="AG12" s="627">
        <v>400</v>
      </c>
      <c r="AH12" s="629"/>
      <c r="AI12" s="629"/>
      <c r="AJ12" s="627">
        <v>55</v>
      </c>
      <c r="AK12" s="630">
        <f t="shared" si="18"/>
        <v>220</v>
      </c>
      <c r="AL12" s="634">
        <f t="shared" si="4"/>
        <v>0</v>
      </c>
      <c r="AM12" s="635">
        <f t="shared" si="5"/>
        <v>0</v>
      </c>
      <c r="AN12" s="636">
        <f t="shared" si="6"/>
        <v>0</v>
      </c>
      <c r="AO12" s="637">
        <f t="shared" si="7"/>
        <v>0</v>
      </c>
      <c r="AP12" s="638" t="e">
        <f t="shared" si="8"/>
        <v>#N/A</v>
      </c>
      <c r="AQ12" s="639" t="e">
        <f t="shared" si="19"/>
        <v>#N/A</v>
      </c>
      <c r="AR12" s="640" t="e">
        <f t="shared" si="9"/>
        <v>#N/A</v>
      </c>
      <c r="AS12" s="641" t="e">
        <f t="shared" si="10"/>
        <v>#DIV/0!</v>
      </c>
      <c r="AT12" s="642"/>
      <c r="AU12" s="642"/>
      <c r="AV12" s="642"/>
      <c r="AW12" s="643">
        <f t="shared" si="20"/>
        <v>0</v>
      </c>
      <c r="AX12" s="643">
        <v>0</v>
      </c>
      <c r="AY12" s="584"/>
      <c r="AZ12" s="644"/>
      <c r="BA12" s="644"/>
      <c r="BB12" s="644"/>
      <c r="BC12" s="644"/>
      <c r="BD12" s="645"/>
      <c r="BE12" s="645" t="e">
        <f t="shared" si="11"/>
        <v>#DIV/0!</v>
      </c>
      <c r="BF12" s="645" t="e">
        <f t="shared" si="12"/>
        <v>#DIV/0!</v>
      </c>
      <c r="BG12" s="646">
        <v>0.6</v>
      </c>
      <c r="BH12" s="646">
        <f t="shared" si="21"/>
        <v>0</v>
      </c>
      <c r="BI12" s="646">
        <v>8.3000000000000007</v>
      </c>
      <c r="BJ12" s="646">
        <v>2.5</v>
      </c>
      <c r="BK12" s="647">
        <f t="shared" si="22"/>
        <v>0</v>
      </c>
      <c r="BL12" s="648">
        <f t="shared" si="23"/>
        <v>0</v>
      </c>
      <c r="BM12" s="647">
        <f t="shared" si="24"/>
        <v>0</v>
      </c>
      <c r="BN12" s="647">
        <f t="shared" si="13"/>
        <v>0</v>
      </c>
      <c r="BO12" s="649">
        <f t="shared" si="14"/>
        <v>0</v>
      </c>
      <c r="BP12" s="647">
        <v>13</v>
      </c>
      <c r="BQ12" s="647">
        <v>35</v>
      </c>
      <c r="BR12" s="650">
        <f t="shared" si="25"/>
        <v>0</v>
      </c>
      <c r="BS12" s="650">
        <f t="shared" si="26"/>
        <v>0</v>
      </c>
      <c r="BT12" s="584"/>
      <c r="BU12" s="584"/>
    </row>
    <row r="13" spans="1:74" s="878" customFormat="1">
      <c r="A13" s="673" t="s">
        <v>328</v>
      </c>
      <c r="B13" s="673" t="s">
        <v>492</v>
      </c>
      <c r="C13" s="201" t="s">
        <v>1512</v>
      </c>
      <c r="D13" s="625"/>
      <c r="E13" s="819" t="str">
        <f t="shared" si="1"/>
        <v>Fattened calf</v>
      </c>
      <c r="F13" s="904">
        <f t="shared" si="2"/>
        <v>0</v>
      </c>
      <c r="G13" s="905">
        <v>0</v>
      </c>
      <c r="H13" s="906">
        <v>0</v>
      </c>
      <c r="I13" s="906">
        <v>0</v>
      </c>
      <c r="J13" s="799">
        <v>0</v>
      </c>
      <c r="K13" s="800">
        <v>1</v>
      </c>
      <c r="L13" s="885">
        <f t="shared" si="15"/>
        <v>0</v>
      </c>
      <c r="M13" s="899">
        <f t="shared" si="3"/>
        <v>0</v>
      </c>
      <c r="N13" s="899"/>
      <c r="O13" s="899"/>
      <c r="P13" s="899"/>
      <c r="Q13" s="899"/>
      <c r="R13" s="899"/>
      <c r="S13" s="627">
        <v>8.6</v>
      </c>
      <c r="T13" s="628"/>
      <c r="U13" s="628"/>
      <c r="V13" s="627">
        <v>78.5</v>
      </c>
      <c r="W13" s="628"/>
      <c r="X13" s="628"/>
      <c r="Y13" s="629">
        <f t="shared" si="16"/>
        <v>4.6500000000000004</v>
      </c>
      <c r="Z13" s="627">
        <v>2.6</v>
      </c>
      <c r="AA13" s="627">
        <v>6.7</v>
      </c>
      <c r="AB13" s="630">
        <v>53.763440860215049</v>
      </c>
      <c r="AC13" s="631">
        <f t="shared" si="17"/>
        <v>3.0225000000000004</v>
      </c>
      <c r="AD13" s="632">
        <v>0.65</v>
      </c>
      <c r="AE13" s="633">
        <v>39</v>
      </c>
      <c r="AF13" s="633">
        <v>60</v>
      </c>
      <c r="AG13" s="627">
        <v>400</v>
      </c>
      <c r="AH13" s="629"/>
      <c r="AI13" s="629"/>
      <c r="AJ13" s="627">
        <v>55</v>
      </c>
      <c r="AK13" s="630">
        <f t="shared" si="18"/>
        <v>220</v>
      </c>
      <c r="AL13" s="634">
        <f t="shared" si="4"/>
        <v>0</v>
      </c>
      <c r="AM13" s="635">
        <f t="shared" si="5"/>
        <v>0</v>
      </c>
      <c r="AN13" s="636">
        <f t="shared" si="6"/>
        <v>0</v>
      </c>
      <c r="AO13" s="637">
        <f t="shared" si="7"/>
        <v>0</v>
      </c>
      <c r="AP13" s="638" t="e">
        <f t="shared" si="8"/>
        <v>#N/A</v>
      </c>
      <c r="AQ13" s="639" t="e">
        <f t="shared" si="19"/>
        <v>#N/A</v>
      </c>
      <c r="AR13" s="640" t="e">
        <f t="shared" si="9"/>
        <v>#N/A</v>
      </c>
      <c r="AS13" s="641" t="e">
        <f t="shared" si="10"/>
        <v>#DIV/0!</v>
      </c>
      <c r="AT13" s="642"/>
      <c r="AU13" s="642"/>
      <c r="AV13" s="642"/>
      <c r="AW13" s="643">
        <f t="shared" si="20"/>
        <v>0</v>
      </c>
      <c r="AX13" s="643">
        <v>0</v>
      </c>
      <c r="AY13" s="584"/>
      <c r="AZ13" s="644"/>
      <c r="BA13" s="644"/>
      <c r="BB13" s="644"/>
      <c r="BC13" s="644"/>
      <c r="BD13" s="645"/>
      <c r="BE13" s="645" t="e">
        <f t="shared" si="11"/>
        <v>#DIV/0!</v>
      </c>
      <c r="BF13" s="645" t="e">
        <f t="shared" si="12"/>
        <v>#DIV/0!</v>
      </c>
      <c r="BG13" s="646">
        <v>0.1</v>
      </c>
      <c r="BH13" s="646">
        <f t="shared" si="21"/>
        <v>0</v>
      </c>
      <c r="BI13" s="646"/>
      <c r="BJ13" s="646">
        <v>2.2000000000000002</v>
      </c>
      <c r="BK13" s="647">
        <f t="shared" si="22"/>
        <v>0</v>
      </c>
      <c r="BL13" s="648">
        <f t="shared" si="23"/>
        <v>0</v>
      </c>
      <c r="BM13" s="647">
        <f t="shared" si="24"/>
        <v>0</v>
      </c>
      <c r="BN13" s="647">
        <f t="shared" si="13"/>
        <v>0</v>
      </c>
      <c r="BO13" s="649">
        <f t="shared" si="14"/>
        <v>0</v>
      </c>
      <c r="BP13" s="647">
        <v>13</v>
      </c>
      <c r="BQ13" s="647">
        <v>35</v>
      </c>
      <c r="BR13" s="650">
        <f t="shared" si="25"/>
        <v>0</v>
      </c>
      <c r="BS13" s="650">
        <f t="shared" si="26"/>
        <v>0</v>
      </c>
      <c r="BT13" s="584"/>
      <c r="BU13" s="584"/>
    </row>
    <row r="14" spans="1:74" s="878" customFormat="1">
      <c r="A14" s="673" t="s">
        <v>329</v>
      </c>
      <c r="B14" s="673" t="s">
        <v>493</v>
      </c>
      <c r="C14" s="201" t="s">
        <v>1513</v>
      </c>
      <c r="D14" s="625"/>
      <c r="E14" s="819" t="str">
        <f t="shared" si="1"/>
        <v>Cattle fattening intensive 65-520 kg</v>
      </c>
      <c r="F14" s="904">
        <f t="shared" si="2"/>
        <v>0</v>
      </c>
      <c r="G14" s="905">
        <v>0</v>
      </c>
      <c r="H14" s="906">
        <v>0</v>
      </c>
      <c r="I14" s="906">
        <v>0</v>
      </c>
      <c r="J14" s="799">
        <v>0</v>
      </c>
      <c r="K14" s="800">
        <v>1</v>
      </c>
      <c r="L14" s="885">
        <f t="shared" si="15"/>
        <v>0</v>
      </c>
      <c r="M14" s="899">
        <f t="shared" si="3"/>
        <v>0</v>
      </c>
      <c r="N14" s="899"/>
      <c r="O14" s="899"/>
      <c r="P14" s="899"/>
      <c r="Q14" s="899"/>
      <c r="R14" s="899"/>
      <c r="S14" s="627">
        <v>8.6</v>
      </c>
      <c r="T14" s="628"/>
      <c r="U14" s="628"/>
      <c r="V14" s="627">
        <v>78.5</v>
      </c>
      <c r="W14" s="628"/>
      <c r="X14" s="628"/>
      <c r="Y14" s="629">
        <f t="shared" si="16"/>
        <v>4.6500000000000004</v>
      </c>
      <c r="Z14" s="627">
        <v>2.6</v>
      </c>
      <c r="AA14" s="627">
        <v>6.7</v>
      </c>
      <c r="AB14" s="630">
        <v>53.763440860215049</v>
      </c>
      <c r="AC14" s="631">
        <f t="shared" si="17"/>
        <v>3.0225000000000004</v>
      </c>
      <c r="AD14" s="632">
        <v>0.65</v>
      </c>
      <c r="AE14" s="633">
        <v>39</v>
      </c>
      <c r="AF14" s="633">
        <v>60</v>
      </c>
      <c r="AG14" s="627">
        <v>400</v>
      </c>
      <c r="AH14" s="629"/>
      <c r="AI14" s="629"/>
      <c r="AJ14" s="627">
        <v>55</v>
      </c>
      <c r="AK14" s="630">
        <f t="shared" si="18"/>
        <v>220</v>
      </c>
      <c r="AL14" s="634">
        <f t="shared" si="4"/>
        <v>0</v>
      </c>
      <c r="AM14" s="635">
        <f t="shared" si="5"/>
        <v>0</v>
      </c>
      <c r="AN14" s="636">
        <f t="shared" si="6"/>
        <v>0</v>
      </c>
      <c r="AO14" s="637">
        <f t="shared" si="7"/>
        <v>0</v>
      </c>
      <c r="AP14" s="638" t="e">
        <f t="shared" si="8"/>
        <v>#N/A</v>
      </c>
      <c r="AQ14" s="639" t="e">
        <f t="shared" si="19"/>
        <v>#N/A</v>
      </c>
      <c r="AR14" s="640" t="e">
        <f t="shared" si="9"/>
        <v>#N/A</v>
      </c>
      <c r="AS14" s="641" t="e">
        <f t="shared" si="10"/>
        <v>#DIV/0!</v>
      </c>
      <c r="AT14" s="642"/>
      <c r="AU14" s="642"/>
      <c r="AV14" s="642"/>
      <c r="AW14" s="643">
        <f t="shared" si="20"/>
        <v>0</v>
      </c>
      <c r="AX14" s="643">
        <v>0</v>
      </c>
      <c r="AY14" s="584"/>
      <c r="AZ14" s="644"/>
      <c r="BA14" s="644"/>
      <c r="BB14" s="644"/>
      <c r="BC14" s="644"/>
      <c r="BD14" s="645"/>
      <c r="BE14" s="645" t="e">
        <f t="shared" si="11"/>
        <v>#DIV/0!</v>
      </c>
      <c r="BF14" s="645" t="e">
        <f t="shared" si="12"/>
        <v>#DIV/0!</v>
      </c>
      <c r="BG14" s="646">
        <v>0.31</v>
      </c>
      <c r="BH14" s="646">
        <f t="shared" si="21"/>
        <v>0</v>
      </c>
      <c r="BI14" s="646">
        <v>4.4000000000000004</v>
      </c>
      <c r="BJ14" s="646">
        <v>1.3</v>
      </c>
      <c r="BK14" s="647">
        <f t="shared" si="22"/>
        <v>0</v>
      </c>
      <c r="BL14" s="648">
        <f t="shared" si="23"/>
        <v>0</v>
      </c>
      <c r="BM14" s="647">
        <f t="shared" si="24"/>
        <v>0</v>
      </c>
      <c r="BN14" s="647">
        <f t="shared" si="13"/>
        <v>0</v>
      </c>
      <c r="BO14" s="649">
        <f t="shared" si="14"/>
        <v>0</v>
      </c>
      <c r="BP14" s="647">
        <v>13</v>
      </c>
      <c r="BQ14" s="647">
        <v>35</v>
      </c>
      <c r="BR14" s="650">
        <f t="shared" si="25"/>
        <v>0</v>
      </c>
      <c r="BS14" s="650">
        <f t="shared" si="26"/>
        <v>0</v>
      </c>
      <c r="BT14" s="584"/>
      <c r="BU14" s="584"/>
    </row>
    <row r="15" spans="1:74" s="878" customFormat="1">
      <c r="A15" s="673" t="s">
        <v>330</v>
      </c>
      <c r="B15" s="673" t="s">
        <v>423</v>
      </c>
      <c r="C15" s="201" t="s">
        <v>1514</v>
      </c>
      <c r="D15" s="625"/>
      <c r="E15" s="819" t="str">
        <f t="shared" si="1"/>
        <v>Horses over 3 years old</v>
      </c>
      <c r="F15" s="904">
        <f t="shared" si="2"/>
        <v>0</v>
      </c>
      <c r="G15" s="905">
        <v>0</v>
      </c>
      <c r="H15" s="906">
        <v>0</v>
      </c>
      <c r="I15" s="906">
        <v>0</v>
      </c>
      <c r="J15" s="799">
        <v>0</v>
      </c>
      <c r="K15" s="800">
        <v>1</v>
      </c>
      <c r="L15" s="885">
        <f t="shared" si="15"/>
        <v>0</v>
      </c>
      <c r="M15" s="899">
        <f t="shared" si="3"/>
        <v>0</v>
      </c>
      <c r="N15" s="899"/>
      <c r="O15" s="899"/>
      <c r="P15" s="899"/>
      <c r="Q15" s="899"/>
      <c r="R15" s="899"/>
      <c r="S15" s="627">
        <v>28</v>
      </c>
      <c r="T15" s="628"/>
      <c r="U15" s="628"/>
      <c r="V15" s="627">
        <v>75</v>
      </c>
      <c r="W15" s="628"/>
      <c r="X15" s="628"/>
      <c r="Y15" s="629">
        <f t="shared" si="16"/>
        <v>2.8</v>
      </c>
      <c r="Z15" s="627">
        <v>2.1</v>
      </c>
      <c r="AA15" s="627">
        <v>3.5</v>
      </c>
      <c r="AB15" s="630">
        <v>50</v>
      </c>
      <c r="AC15" s="631">
        <f t="shared" si="17"/>
        <v>1.4</v>
      </c>
      <c r="AD15" s="632">
        <v>0.5</v>
      </c>
      <c r="AE15" s="633">
        <v>35</v>
      </c>
      <c r="AF15" s="633">
        <v>35</v>
      </c>
      <c r="AG15" s="627">
        <f>(AH15+AI15)/2</f>
        <v>350</v>
      </c>
      <c r="AH15" s="627">
        <v>300</v>
      </c>
      <c r="AI15" s="627">
        <v>400</v>
      </c>
      <c r="AJ15" s="627">
        <v>55</v>
      </c>
      <c r="AK15" s="630">
        <f t="shared" si="18"/>
        <v>192.5</v>
      </c>
      <c r="AL15" s="634">
        <f t="shared" si="4"/>
        <v>0</v>
      </c>
      <c r="AM15" s="635">
        <f t="shared" si="5"/>
        <v>0</v>
      </c>
      <c r="AN15" s="636">
        <f t="shared" si="6"/>
        <v>0</v>
      </c>
      <c r="AO15" s="637">
        <f t="shared" si="7"/>
        <v>0</v>
      </c>
      <c r="AP15" s="638" t="e">
        <f t="shared" si="8"/>
        <v>#N/A</v>
      </c>
      <c r="AQ15" s="639" t="e">
        <f t="shared" si="19"/>
        <v>#N/A</v>
      </c>
      <c r="AR15" s="640" t="e">
        <f t="shared" si="9"/>
        <v>#N/A</v>
      </c>
      <c r="AS15" s="641" t="e">
        <f t="shared" si="10"/>
        <v>#DIV/0!</v>
      </c>
      <c r="AT15" s="642"/>
      <c r="AU15" s="642"/>
      <c r="AV15" s="642"/>
      <c r="AW15" s="643">
        <f t="shared" si="20"/>
        <v>0</v>
      </c>
      <c r="AX15" s="643">
        <v>0</v>
      </c>
      <c r="AY15" s="584"/>
      <c r="AZ15" s="644"/>
      <c r="BA15" s="644"/>
      <c r="BB15" s="644"/>
      <c r="BC15" s="644"/>
      <c r="BD15" s="645"/>
      <c r="BE15" s="645" t="e">
        <f t="shared" si="11"/>
        <v>#DIV/0!</v>
      </c>
      <c r="BF15" s="645" t="e">
        <f t="shared" si="12"/>
        <v>#DIV/0!</v>
      </c>
      <c r="BG15" s="646">
        <v>0.7</v>
      </c>
      <c r="BH15" s="646">
        <f t="shared" si="21"/>
        <v>0</v>
      </c>
      <c r="BI15" s="646"/>
      <c r="BJ15" s="646">
        <v>12</v>
      </c>
      <c r="BK15" s="647">
        <f t="shared" si="22"/>
        <v>0</v>
      </c>
      <c r="BL15" s="648">
        <f t="shared" si="23"/>
        <v>0</v>
      </c>
      <c r="BM15" s="647">
        <f t="shared" si="24"/>
        <v>0</v>
      </c>
      <c r="BN15" s="647">
        <f t="shared" si="13"/>
        <v>0</v>
      </c>
      <c r="BO15" s="649">
        <f t="shared" si="14"/>
        <v>0</v>
      </c>
      <c r="BP15" s="647"/>
      <c r="BQ15" s="647">
        <v>35.700000000000003</v>
      </c>
      <c r="BR15" s="650">
        <f t="shared" si="25"/>
        <v>0</v>
      </c>
      <c r="BS15" s="650">
        <f t="shared" si="26"/>
        <v>0</v>
      </c>
      <c r="BT15" s="584"/>
      <c r="BU15" s="584"/>
    </row>
    <row r="16" spans="1:74" s="878" customFormat="1">
      <c r="A16" s="673" t="s">
        <v>331</v>
      </c>
      <c r="B16" s="673" t="s">
        <v>424</v>
      </c>
      <c r="C16" s="201" t="s">
        <v>1515</v>
      </c>
      <c r="D16" s="625"/>
      <c r="E16" s="819" t="str">
        <f t="shared" si="1"/>
        <v>Ewes or goats</v>
      </c>
      <c r="F16" s="904">
        <f t="shared" si="2"/>
        <v>0</v>
      </c>
      <c r="G16" s="905">
        <v>0</v>
      </c>
      <c r="H16" s="906">
        <v>0</v>
      </c>
      <c r="I16" s="906">
        <v>0</v>
      </c>
      <c r="J16" s="799">
        <v>0</v>
      </c>
      <c r="K16" s="800">
        <v>1</v>
      </c>
      <c r="L16" s="885">
        <f t="shared" si="15"/>
        <v>0</v>
      </c>
      <c r="M16" s="899">
        <f t="shared" si="3"/>
        <v>0</v>
      </c>
      <c r="N16" s="899"/>
      <c r="O16" s="899"/>
      <c r="P16" s="899"/>
      <c r="Q16" s="899"/>
      <c r="R16" s="899"/>
      <c r="S16" s="627">
        <v>27.5</v>
      </c>
      <c r="T16" s="628"/>
      <c r="U16" s="628"/>
      <c r="V16" s="627">
        <v>80</v>
      </c>
      <c r="W16" s="628"/>
      <c r="X16" s="628"/>
      <c r="Y16" s="629">
        <f t="shared" si="16"/>
        <v>3</v>
      </c>
      <c r="Z16" s="627">
        <v>3</v>
      </c>
      <c r="AA16" s="627">
        <v>3</v>
      </c>
      <c r="AB16" s="630">
        <v>35</v>
      </c>
      <c r="AC16" s="631">
        <f t="shared" si="17"/>
        <v>1.5</v>
      </c>
      <c r="AD16" s="632">
        <v>0.5</v>
      </c>
      <c r="AE16" s="633">
        <v>35</v>
      </c>
      <c r="AF16" s="633">
        <v>35</v>
      </c>
      <c r="AG16" s="627">
        <f>(AH16+AI16)/2</f>
        <v>450</v>
      </c>
      <c r="AH16" s="627">
        <v>400</v>
      </c>
      <c r="AI16" s="627">
        <v>500</v>
      </c>
      <c r="AJ16" s="627">
        <v>55</v>
      </c>
      <c r="AK16" s="630">
        <f t="shared" si="18"/>
        <v>247.5</v>
      </c>
      <c r="AL16" s="634">
        <f t="shared" si="4"/>
        <v>0</v>
      </c>
      <c r="AM16" s="635">
        <f t="shared" si="5"/>
        <v>0</v>
      </c>
      <c r="AN16" s="636">
        <f t="shared" si="6"/>
        <v>0</v>
      </c>
      <c r="AO16" s="637">
        <f t="shared" si="7"/>
        <v>0</v>
      </c>
      <c r="AP16" s="638" t="e">
        <f t="shared" si="8"/>
        <v>#N/A</v>
      </c>
      <c r="AQ16" s="639" t="e">
        <f t="shared" si="19"/>
        <v>#N/A</v>
      </c>
      <c r="AR16" s="640" t="e">
        <f t="shared" si="9"/>
        <v>#N/A</v>
      </c>
      <c r="AS16" s="641" t="e">
        <f t="shared" si="10"/>
        <v>#DIV/0!</v>
      </c>
      <c r="AT16" s="642"/>
      <c r="AU16" s="642"/>
      <c r="AV16" s="642"/>
      <c r="AW16" s="643">
        <f t="shared" si="20"/>
        <v>0</v>
      </c>
      <c r="AX16" s="643">
        <v>0</v>
      </c>
      <c r="AY16" s="584"/>
      <c r="AZ16" s="644"/>
      <c r="BA16" s="644"/>
      <c r="BB16" s="644"/>
      <c r="BC16" s="644"/>
      <c r="BD16" s="645"/>
      <c r="BE16" s="645" t="e">
        <f t="shared" si="11"/>
        <v>#DIV/0!</v>
      </c>
      <c r="BF16" s="645" t="e">
        <f t="shared" si="12"/>
        <v>#DIV/0!</v>
      </c>
      <c r="BG16" s="646">
        <v>0.17</v>
      </c>
      <c r="BH16" s="646">
        <f t="shared" si="21"/>
        <v>0</v>
      </c>
      <c r="BI16" s="646"/>
      <c r="BJ16" s="646">
        <v>1.7</v>
      </c>
      <c r="BK16" s="647">
        <f t="shared" si="22"/>
        <v>0</v>
      </c>
      <c r="BL16" s="648">
        <f t="shared" si="23"/>
        <v>0</v>
      </c>
      <c r="BM16" s="647">
        <f t="shared" si="24"/>
        <v>0</v>
      </c>
      <c r="BN16" s="647">
        <f t="shared" si="13"/>
        <v>0</v>
      </c>
      <c r="BO16" s="649">
        <f t="shared" si="14"/>
        <v>0</v>
      </c>
      <c r="BP16" s="647"/>
      <c r="BQ16" s="647">
        <v>64.099999999999994</v>
      </c>
      <c r="BR16" s="650">
        <f t="shared" si="25"/>
        <v>0</v>
      </c>
      <c r="BS16" s="650">
        <f t="shared" si="26"/>
        <v>0</v>
      </c>
      <c r="BT16" s="584"/>
      <c r="BU16" s="584"/>
    </row>
    <row r="17" spans="1:73" s="878" customFormat="1">
      <c r="A17" s="673" t="s">
        <v>332</v>
      </c>
      <c r="B17" s="673" t="s">
        <v>425</v>
      </c>
      <c r="C17" s="201" t="s">
        <v>1516</v>
      </c>
      <c r="D17" s="625"/>
      <c r="E17" s="819" t="str">
        <f t="shared" si="1"/>
        <v>Breeding pigs</v>
      </c>
      <c r="F17" s="904">
        <f t="shared" si="2"/>
        <v>0</v>
      </c>
      <c r="G17" s="905">
        <v>0</v>
      </c>
      <c r="H17" s="906">
        <v>0</v>
      </c>
      <c r="I17" s="906">
        <v>0</v>
      </c>
      <c r="J17" s="799">
        <v>0</v>
      </c>
      <c r="K17" s="800">
        <v>1</v>
      </c>
      <c r="L17" s="885">
        <f t="shared" si="15"/>
        <v>0</v>
      </c>
      <c r="M17" s="899">
        <f t="shared" si="3"/>
        <v>0</v>
      </c>
      <c r="N17" s="899"/>
      <c r="O17" s="899"/>
      <c r="P17" s="899"/>
      <c r="Q17" s="899"/>
      <c r="R17" s="899"/>
      <c r="S17" s="627">
        <v>8.6</v>
      </c>
      <c r="T17" s="628"/>
      <c r="U17" s="628"/>
      <c r="V17" s="627">
        <v>78.5</v>
      </c>
      <c r="W17" s="628"/>
      <c r="X17" s="628"/>
      <c r="Y17" s="629">
        <f t="shared" si="16"/>
        <v>12</v>
      </c>
      <c r="Z17" s="627">
        <v>6</v>
      </c>
      <c r="AA17" s="627">
        <v>18</v>
      </c>
      <c r="AB17" s="630">
        <v>83.333333333333343</v>
      </c>
      <c r="AC17" s="631">
        <f t="shared" si="17"/>
        <v>8.3999999999999986</v>
      </c>
      <c r="AD17" s="632">
        <v>0.7</v>
      </c>
      <c r="AE17" s="633">
        <v>50</v>
      </c>
      <c r="AF17" s="633">
        <v>92</v>
      </c>
      <c r="AG17" s="627">
        <v>450</v>
      </c>
      <c r="AH17" s="629"/>
      <c r="AI17" s="629"/>
      <c r="AJ17" s="627">
        <v>60</v>
      </c>
      <c r="AK17" s="630">
        <f t="shared" si="18"/>
        <v>270</v>
      </c>
      <c r="AL17" s="634">
        <f t="shared" si="4"/>
        <v>0</v>
      </c>
      <c r="AM17" s="635">
        <f t="shared" si="5"/>
        <v>0</v>
      </c>
      <c r="AN17" s="636">
        <f t="shared" si="6"/>
        <v>0</v>
      </c>
      <c r="AO17" s="637">
        <f t="shared" si="7"/>
        <v>0</v>
      </c>
      <c r="AP17" s="638" t="e">
        <f t="shared" si="8"/>
        <v>#N/A</v>
      </c>
      <c r="AQ17" s="639" t="e">
        <f t="shared" si="19"/>
        <v>#N/A</v>
      </c>
      <c r="AR17" s="640" t="e">
        <f t="shared" si="9"/>
        <v>#N/A</v>
      </c>
      <c r="AS17" s="641" t="e">
        <f t="shared" si="10"/>
        <v>#DIV/0!</v>
      </c>
      <c r="AT17" s="642"/>
      <c r="AU17" s="642"/>
      <c r="AV17" s="642"/>
      <c r="AW17" s="643">
        <f t="shared" si="20"/>
        <v>0</v>
      </c>
      <c r="AX17" s="643">
        <v>0</v>
      </c>
      <c r="AY17" s="584"/>
      <c r="AZ17" s="644"/>
      <c r="BA17" s="644"/>
      <c r="BB17" s="644"/>
      <c r="BC17" s="644"/>
      <c r="BD17" s="645"/>
      <c r="BE17" s="645" t="e">
        <f t="shared" si="11"/>
        <v>#DIV/0!</v>
      </c>
      <c r="BF17" s="645" t="e">
        <f t="shared" si="12"/>
        <v>#DIV/0!</v>
      </c>
      <c r="BG17" s="646">
        <v>0.45</v>
      </c>
      <c r="BH17" s="646">
        <f t="shared" si="21"/>
        <v>0</v>
      </c>
      <c r="BI17" s="646">
        <v>4.5</v>
      </c>
      <c r="BJ17" s="646">
        <v>0.9</v>
      </c>
      <c r="BK17" s="647">
        <f t="shared" si="22"/>
        <v>0</v>
      </c>
      <c r="BL17" s="648">
        <f t="shared" si="23"/>
        <v>0</v>
      </c>
      <c r="BM17" s="647">
        <f t="shared" si="24"/>
        <v>0</v>
      </c>
      <c r="BN17" s="647">
        <f t="shared" si="13"/>
        <v>0</v>
      </c>
      <c r="BO17" s="649">
        <f t="shared" si="14"/>
        <v>0</v>
      </c>
      <c r="BP17" s="647">
        <v>12.2</v>
      </c>
      <c r="BQ17" s="647">
        <v>45.6</v>
      </c>
      <c r="BR17" s="650">
        <f t="shared" si="25"/>
        <v>0</v>
      </c>
      <c r="BS17" s="650">
        <f t="shared" si="26"/>
        <v>0</v>
      </c>
      <c r="BT17" s="584"/>
      <c r="BU17" s="584"/>
    </row>
    <row r="18" spans="1:73" s="878" customFormat="1">
      <c r="A18" s="673" t="s">
        <v>333</v>
      </c>
      <c r="B18" s="581" t="s">
        <v>494</v>
      </c>
      <c r="C18" s="201" t="s">
        <v>1517</v>
      </c>
      <c r="D18" s="651"/>
      <c r="E18" s="819" t="str">
        <f t="shared" si="1"/>
        <v>Pigs for fattening / Remonten 25-100 kg</v>
      </c>
      <c r="F18" s="904">
        <f>BK18+BN18</f>
        <v>0</v>
      </c>
      <c r="G18" s="905">
        <v>0</v>
      </c>
      <c r="H18" s="906">
        <v>0</v>
      </c>
      <c r="I18" s="906">
        <v>0</v>
      </c>
      <c r="J18" s="799">
        <v>0</v>
      </c>
      <c r="K18" s="800">
        <v>1</v>
      </c>
      <c r="L18" s="885">
        <f t="shared" si="15"/>
        <v>0</v>
      </c>
      <c r="M18" s="899">
        <f t="shared" si="3"/>
        <v>0</v>
      </c>
      <c r="N18" s="899"/>
      <c r="O18" s="899"/>
      <c r="P18" s="899"/>
      <c r="Q18" s="899"/>
      <c r="R18" s="899"/>
      <c r="S18" s="627">
        <v>8.6</v>
      </c>
      <c r="T18" s="628"/>
      <c r="U18" s="628"/>
      <c r="V18" s="627">
        <v>78.5</v>
      </c>
      <c r="W18" s="628"/>
      <c r="X18" s="628"/>
      <c r="Y18" s="629">
        <f t="shared" si="16"/>
        <v>12</v>
      </c>
      <c r="Z18" s="627">
        <v>6</v>
      </c>
      <c r="AA18" s="627">
        <v>18</v>
      </c>
      <c r="AB18" s="630">
        <v>83.333333333333343</v>
      </c>
      <c r="AC18" s="631">
        <f t="shared" si="17"/>
        <v>8.3999999999999986</v>
      </c>
      <c r="AD18" s="632">
        <v>0.7</v>
      </c>
      <c r="AE18" s="633">
        <v>50</v>
      </c>
      <c r="AF18" s="633">
        <v>92</v>
      </c>
      <c r="AG18" s="627">
        <v>450</v>
      </c>
      <c r="AH18" s="629"/>
      <c r="AI18" s="629"/>
      <c r="AJ18" s="627">
        <v>60</v>
      </c>
      <c r="AK18" s="630">
        <f t="shared" si="18"/>
        <v>270</v>
      </c>
      <c r="AL18" s="634">
        <f t="shared" si="4"/>
        <v>0</v>
      </c>
      <c r="AM18" s="635">
        <f t="shared" si="5"/>
        <v>0</v>
      </c>
      <c r="AN18" s="636">
        <f t="shared" si="6"/>
        <v>0</v>
      </c>
      <c r="AO18" s="637">
        <f t="shared" si="7"/>
        <v>0</v>
      </c>
      <c r="AP18" s="638" t="e">
        <f t="shared" si="8"/>
        <v>#N/A</v>
      </c>
      <c r="AQ18" s="639" t="e">
        <f t="shared" si="19"/>
        <v>#N/A</v>
      </c>
      <c r="AR18" s="640" t="e">
        <f t="shared" si="9"/>
        <v>#N/A</v>
      </c>
      <c r="AS18" s="641" t="e">
        <f t="shared" si="10"/>
        <v>#DIV/0!</v>
      </c>
      <c r="AT18" s="642"/>
      <c r="AU18" s="642"/>
      <c r="AV18" s="642"/>
      <c r="AW18" s="643">
        <f t="shared" si="20"/>
        <v>0</v>
      </c>
      <c r="AX18" s="643">
        <v>0</v>
      </c>
      <c r="AY18" s="584"/>
      <c r="AZ18" s="644"/>
      <c r="BA18" s="644"/>
      <c r="BB18" s="644"/>
      <c r="BC18" s="644"/>
      <c r="BD18" s="645"/>
      <c r="BE18" s="645" t="e">
        <f t="shared" si="11"/>
        <v>#DIV/0!</v>
      </c>
      <c r="BF18" s="645" t="e">
        <f t="shared" si="12"/>
        <v>#DIV/0!</v>
      </c>
      <c r="BG18" s="646">
        <v>0.17</v>
      </c>
      <c r="BH18" s="646">
        <f t="shared" si="21"/>
        <v>0</v>
      </c>
      <c r="BI18" s="646">
        <v>1.2</v>
      </c>
      <c r="BJ18" s="646">
        <v>0.3</v>
      </c>
      <c r="BK18" s="647">
        <f t="shared" si="22"/>
        <v>0</v>
      </c>
      <c r="BL18" s="648">
        <f t="shared" si="23"/>
        <v>0</v>
      </c>
      <c r="BM18" s="647">
        <f t="shared" si="24"/>
        <v>0</v>
      </c>
      <c r="BN18" s="647">
        <f t="shared" si="13"/>
        <v>0</v>
      </c>
      <c r="BO18" s="649">
        <f t="shared" si="14"/>
        <v>0</v>
      </c>
      <c r="BP18" s="647">
        <v>12.2</v>
      </c>
      <c r="BQ18" s="647">
        <v>45.6</v>
      </c>
      <c r="BR18" s="650">
        <f t="shared" si="25"/>
        <v>0</v>
      </c>
      <c r="BS18" s="650">
        <f t="shared" si="26"/>
        <v>0</v>
      </c>
      <c r="BT18" s="584"/>
      <c r="BU18" s="584"/>
    </row>
    <row r="19" spans="1:73" s="878" customFormat="1">
      <c r="A19" s="934" t="s">
        <v>563</v>
      </c>
      <c r="B19" s="581" t="s">
        <v>759</v>
      </c>
      <c r="C19" s="201" t="s">
        <v>1518</v>
      </c>
      <c r="D19" s="651"/>
      <c r="E19" s="819" t="str">
        <f t="shared" si="1"/>
        <v>Piglets 10-35 kg</v>
      </c>
      <c r="F19" s="904">
        <f>BK19+BN19</f>
        <v>0</v>
      </c>
      <c r="G19" s="905">
        <v>0</v>
      </c>
      <c r="H19" s="906">
        <v>0</v>
      </c>
      <c r="I19" s="906">
        <v>0</v>
      </c>
      <c r="J19" s="799">
        <v>0</v>
      </c>
      <c r="K19" s="800">
        <v>1</v>
      </c>
      <c r="L19" s="885">
        <f t="shared" ref="L19" si="27">F19*S19*V19/10</f>
        <v>0</v>
      </c>
      <c r="M19" s="899">
        <f t="shared" si="3"/>
        <v>0</v>
      </c>
      <c r="N19" s="899"/>
      <c r="O19" s="899"/>
      <c r="P19" s="899"/>
      <c r="Q19" s="899"/>
      <c r="R19" s="899"/>
      <c r="S19" s="627">
        <v>8.6</v>
      </c>
      <c r="T19" s="628"/>
      <c r="U19" s="628"/>
      <c r="V19" s="627">
        <v>78.5</v>
      </c>
      <c r="W19" s="628"/>
      <c r="X19" s="628"/>
      <c r="Y19" s="629">
        <f t="shared" si="16"/>
        <v>12</v>
      </c>
      <c r="Z19" s="627">
        <v>6</v>
      </c>
      <c r="AA19" s="627">
        <v>18</v>
      </c>
      <c r="AB19" s="630">
        <v>83.333333333333343</v>
      </c>
      <c r="AC19" s="631">
        <f t="shared" ref="AC19" si="28">AD19*Y19</f>
        <v>8.3999999999999986</v>
      </c>
      <c r="AD19" s="632">
        <v>0.7</v>
      </c>
      <c r="AE19" s="633">
        <v>50</v>
      </c>
      <c r="AF19" s="633">
        <v>92</v>
      </c>
      <c r="AG19" s="627">
        <v>450</v>
      </c>
      <c r="AH19" s="629"/>
      <c r="AI19" s="629"/>
      <c r="AJ19" s="627">
        <v>60</v>
      </c>
      <c r="AK19" s="630">
        <f t="shared" si="18"/>
        <v>270</v>
      </c>
      <c r="AL19" s="634">
        <f t="shared" ref="AL19" si="29">L19*50%*28.62%*12.5%</f>
        <v>0</v>
      </c>
      <c r="AM19" s="635">
        <f t="shared" ref="AM19" si="30">L19*0.075*24%*0.78*(1+Referenz_CH4_Güllelager)</f>
        <v>0</v>
      </c>
      <c r="AN19" s="636">
        <f t="shared" ref="AN19" si="31">F19*1000*S19/100*Y19/100*AB19/100*NH3emittiert*AnteilNH3Lagerung*(1+Referenz_NH3_Gülle)</f>
        <v>0</v>
      </c>
      <c r="AO19" s="637">
        <f t="shared" ref="AO19" si="32">F19*N2O_Gülle*(1+Referenz_N2O_Gülle)</f>
        <v>0</v>
      </c>
      <c r="AP19" s="638" t="e">
        <f t="shared" si="8"/>
        <v>#N/A</v>
      </c>
      <c r="AQ19" s="639" t="e">
        <f t="shared" ref="AQ19" si="33">F19*1000*S19/100*Y19/100*AB19/100*NH3emittiert*AnteilNH3Lagerung*(1+NH3plus)*((1+Faktor_NH3_Behandlung)*Anteil_V_fest+(1+FaktorNH3GülleBehandlung)*Anteil_V_flüssig)</f>
        <v>#N/A</v>
      </c>
      <c r="AR19" s="640" t="e">
        <f t="shared" si="9"/>
        <v>#N/A</v>
      </c>
      <c r="AS19" s="641" t="e">
        <f t="shared" ref="AS19" si="34">F19*(N2O_Gülle*Anteil_V_flüssig*(1+Faktor_N2O_GülleBehandlung)+N2O_Kompost*Anteil_V_fest*(1+Faktor_N2O_Behandlung))</f>
        <v>#DIV/0!</v>
      </c>
      <c r="AT19" s="642"/>
      <c r="AU19" s="642"/>
      <c r="AV19" s="642"/>
      <c r="AW19" s="643">
        <f t="shared" ref="AW19" si="35">IF(F19&gt;0,G19/F19/1000,0)</f>
        <v>0</v>
      </c>
      <c r="AX19" s="643">
        <v>0</v>
      </c>
      <c r="AY19" s="584"/>
      <c r="AZ19" s="644"/>
      <c r="BA19" s="644"/>
      <c r="BB19" s="644"/>
      <c r="BC19" s="644"/>
      <c r="BD19" s="645"/>
      <c r="BE19" s="645" t="e">
        <f t="shared" si="11"/>
        <v>#DIV/0!</v>
      </c>
      <c r="BF19" s="645" t="e">
        <f t="shared" si="12"/>
        <v>#DIV/0!</v>
      </c>
      <c r="BG19" s="646">
        <v>0.06</v>
      </c>
      <c r="BH19" s="646">
        <f t="shared" si="21"/>
        <v>0</v>
      </c>
      <c r="BI19" s="652">
        <f>BI18/2</f>
        <v>0.6</v>
      </c>
      <c r="BJ19" s="652">
        <f>BJ18/2</f>
        <v>0.15</v>
      </c>
      <c r="BK19" s="647">
        <f t="shared" si="22"/>
        <v>0</v>
      </c>
      <c r="BL19" s="648">
        <f t="shared" si="23"/>
        <v>0</v>
      </c>
      <c r="BM19" s="647">
        <f t="shared" si="24"/>
        <v>0</v>
      </c>
      <c r="BN19" s="647">
        <f t="shared" si="13"/>
        <v>0</v>
      </c>
      <c r="BO19" s="649">
        <f t="shared" si="14"/>
        <v>0</v>
      </c>
      <c r="BP19" s="647">
        <v>12.2</v>
      </c>
      <c r="BQ19" s="647">
        <v>45.6</v>
      </c>
      <c r="BR19" s="650">
        <f t="shared" si="25"/>
        <v>0</v>
      </c>
      <c r="BS19" s="650">
        <f t="shared" si="26"/>
        <v>0</v>
      </c>
      <c r="BT19" s="584"/>
      <c r="BU19" s="584"/>
    </row>
    <row r="20" spans="1:73" s="878" customFormat="1">
      <c r="A20" s="673" t="s">
        <v>334</v>
      </c>
      <c r="B20" s="673" t="s">
        <v>426</v>
      </c>
      <c r="C20" s="201" t="s">
        <v>1519</v>
      </c>
      <c r="D20" s="625"/>
      <c r="E20" s="819" t="str">
        <f t="shared" si="1"/>
        <v>Breeding boar</v>
      </c>
      <c r="F20" s="904">
        <f>BK20+BN20</f>
        <v>0</v>
      </c>
      <c r="G20" s="905">
        <v>0</v>
      </c>
      <c r="H20" s="906">
        <v>0</v>
      </c>
      <c r="I20" s="906">
        <v>0</v>
      </c>
      <c r="J20" s="799">
        <v>0</v>
      </c>
      <c r="K20" s="800">
        <v>1</v>
      </c>
      <c r="L20" s="885">
        <f t="shared" si="15"/>
        <v>0</v>
      </c>
      <c r="M20" s="899">
        <f t="shared" si="3"/>
        <v>0</v>
      </c>
      <c r="N20" s="899"/>
      <c r="O20" s="899"/>
      <c r="P20" s="899"/>
      <c r="Q20" s="899"/>
      <c r="R20" s="899"/>
      <c r="S20" s="627">
        <v>8.6</v>
      </c>
      <c r="T20" s="628"/>
      <c r="U20" s="628"/>
      <c r="V20" s="627">
        <v>78.5</v>
      </c>
      <c r="W20" s="628"/>
      <c r="X20" s="628"/>
      <c r="Y20" s="629">
        <f t="shared" si="16"/>
        <v>12</v>
      </c>
      <c r="Z20" s="627">
        <v>6</v>
      </c>
      <c r="AA20" s="627">
        <v>18</v>
      </c>
      <c r="AB20" s="630">
        <v>83.333333333333343</v>
      </c>
      <c r="AC20" s="631">
        <f t="shared" si="17"/>
        <v>8.3999999999999986</v>
      </c>
      <c r="AD20" s="632">
        <v>0.7</v>
      </c>
      <c r="AE20" s="633">
        <v>50</v>
      </c>
      <c r="AF20" s="633">
        <v>92</v>
      </c>
      <c r="AG20" s="627">
        <v>450</v>
      </c>
      <c r="AH20" s="629"/>
      <c r="AI20" s="629"/>
      <c r="AJ20" s="627">
        <v>60</v>
      </c>
      <c r="AK20" s="630">
        <f t="shared" si="18"/>
        <v>270</v>
      </c>
      <c r="AL20" s="634">
        <f t="shared" si="4"/>
        <v>0</v>
      </c>
      <c r="AM20" s="635">
        <f t="shared" si="5"/>
        <v>0</v>
      </c>
      <c r="AN20" s="636">
        <f t="shared" si="6"/>
        <v>0</v>
      </c>
      <c r="AO20" s="637">
        <f t="shared" si="7"/>
        <v>0</v>
      </c>
      <c r="AP20" s="638" t="e">
        <f t="shared" si="8"/>
        <v>#N/A</v>
      </c>
      <c r="AQ20" s="639" t="e">
        <f t="shared" si="19"/>
        <v>#N/A</v>
      </c>
      <c r="AR20" s="640" t="e">
        <f t="shared" si="9"/>
        <v>#N/A</v>
      </c>
      <c r="AS20" s="641" t="e">
        <f t="shared" si="10"/>
        <v>#DIV/0!</v>
      </c>
      <c r="AT20" s="642"/>
      <c r="AU20" s="642"/>
      <c r="AV20" s="642"/>
      <c r="AW20" s="643">
        <f t="shared" si="20"/>
        <v>0</v>
      </c>
      <c r="AX20" s="643">
        <v>0</v>
      </c>
      <c r="AY20" s="584"/>
      <c r="AZ20" s="644"/>
      <c r="BA20" s="644"/>
      <c r="BB20" s="644"/>
      <c r="BC20" s="644"/>
      <c r="BD20" s="645"/>
      <c r="BE20" s="645" t="e">
        <f t="shared" si="11"/>
        <v>#DIV/0!</v>
      </c>
      <c r="BF20" s="645" t="e">
        <f t="shared" si="12"/>
        <v>#DIV/0!</v>
      </c>
      <c r="BG20" s="646">
        <v>0.25</v>
      </c>
      <c r="BH20" s="646">
        <f t="shared" si="21"/>
        <v>0</v>
      </c>
      <c r="BI20" s="646">
        <v>2.5</v>
      </c>
      <c r="BJ20" s="646">
        <v>0.5</v>
      </c>
      <c r="BK20" s="647">
        <f t="shared" si="22"/>
        <v>0</v>
      </c>
      <c r="BL20" s="648">
        <f t="shared" si="23"/>
        <v>0</v>
      </c>
      <c r="BM20" s="647">
        <f t="shared" si="24"/>
        <v>0</v>
      </c>
      <c r="BN20" s="647">
        <f t="shared" si="13"/>
        <v>0</v>
      </c>
      <c r="BO20" s="649">
        <f t="shared" si="14"/>
        <v>0</v>
      </c>
      <c r="BP20" s="647">
        <v>12.2</v>
      </c>
      <c r="BQ20" s="647">
        <v>45.6</v>
      </c>
      <c r="BR20" s="650">
        <f t="shared" si="25"/>
        <v>0</v>
      </c>
      <c r="BS20" s="650">
        <f t="shared" si="26"/>
        <v>0</v>
      </c>
      <c r="BT20" s="584"/>
      <c r="BU20" s="584"/>
    </row>
    <row r="21" spans="1:73" s="878" customFormat="1">
      <c r="A21" s="673" t="s">
        <v>335</v>
      </c>
      <c r="B21" s="673" t="s">
        <v>427</v>
      </c>
      <c r="C21" s="201" t="s">
        <v>1520</v>
      </c>
      <c r="D21" s="625"/>
      <c r="E21" s="819" t="str">
        <f t="shared" si="1"/>
        <v>Laying hens</v>
      </c>
      <c r="F21" s="904">
        <f t="shared" si="2"/>
        <v>0</v>
      </c>
      <c r="G21" s="905">
        <v>0</v>
      </c>
      <c r="H21" s="906">
        <v>0</v>
      </c>
      <c r="I21" s="906">
        <v>0</v>
      </c>
      <c r="J21" s="799">
        <v>0</v>
      </c>
      <c r="K21" s="800">
        <v>1</v>
      </c>
      <c r="L21" s="885">
        <f t="shared" si="15"/>
        <v>0</v>
      </c>
      <c r="M21" s="899">
        <f t="shared" si="3"/>
        <v>0</v>
      </c>
      <c r="N21" s="899"/>
      <c r="O21" s="899"/>
      <c r="P21" s="899"/>
      <c r="Q21" s="899"/>
      <c r="R21" s="899"/>
      <c r="S21" s="627">
        <v>32</v>
      </c>
      <c r="T21" s="628"/>
      <c r="U21" s="628"/>
      <c r="V21" s="627">
        <v>75</v>
      </c>
      <c r="W21" s="628"/>
      <c r="X21" s="628"/>
      <c r="Y21" s="629">
        <f t="shared" si="16"/>
        <v>5.4</v>
      </c>
      <c r="Z21" s="627">
        <v>5.4</v>
      </c>
      <c r="AA21" s="627">
        <v>5.4</v>
      </c>
      <c r="AB21" s="630">
        <v>7.2222222222222214</v>
      </c>
      <c r="AC21" s="631">
        <f t="shared" si="17"/>
        <v>3.78</v>
      </c>
      <c r="AD21" s="632">
        <v>0.7</v>
      </c>
      <c r="AE21" s="633">
        <v>69</v>
      </c>
      <c r="AF21" s="633">
        <v>70</v>
      </c>
      <c r="AG21" s="627">
        <v>470</v>
      </c>
      <c r="AH21" s="629"/>
      <c r="AI21" s="629"/>
      <c r="AJ21" s="627">
        <v>65</v>
      </c>
      <c r="AK21" s="630">
        <f t="shared" si="18"/>
        <v>305.5</v>
      </c>
      <c r="AL21" s="634">
        <f t="shared" si="4"/>
        <v>0</v>
      </c>
      <c r="AM21" s="635">
        <f t="shared" si="5"/>
        <v>0</v>
      </c>
      <c r="AN21" s="636">
        <f t="shared" si="6"/>
        <v>0</v>
      </c>
      <c r="AO21" s="637">
        <f t="shared" si="7"/>
        <v>0</v>
      </c>
      <c r="AP21" s="638" t="e">
        <f t="shared" si="8"/>
        <v>#N/A</v>
      </c>
      <c r="AQ21" s="639" t="e">
        <f t="shared" si="19"/>
        <v>#N/A</v>
      </c>
      <c r="AR21" s="640" t="e">
        <f t="shared" si="9"/>
        <v>#N/A</v>
      </c>
      <c r="AS21" s="641" t="e">
        <f t="shared" si="10"/>
        <v>#DIV/0!</v>
      </c>
      <c r="AT21" s="642"/>
      <c r="AU21" s="642"/>
      <c r="AV21" s="642"/>
      <c r="AW21" s="643">
        <f t="shared" si="20"/>
        <v>0</v>
      </c>
      <c r="AX21" s="643">
        <v>0</v>
      </c>
      <c r="AY21" s="584"/>
      <c r="AZ21" s="644"/>
      <c r="BA21" s="644"/>
      <c r="BB21" s="644"/>
      <c r="BC21" s="644"/>
      <c r="BD21" s="645"/>
      <c r="BE21" s="645" t="e">
        <f t="shared" si="11"/>
        <v>#DIV/0!</v>
      </c>
      <c r="BF21" s="645" t="e">
        <f t="shared" si="12"/>
        <v>#DIV/0!</v>
      </c>
      <c r="BG21" s="646">
        <v>0.01</v>
      </c>
      <c r="BH21" s="646">
        <f t="shared" si="21"/>
        <v>0</v>
      </c>
      <c r="BI21" s="646"/>
      <c r="BJ21" s="646">
        <v>1.8000000000000002E-2</v>
      </c>
      <c r="BK21" s="647">
        <f t="shared" si="22"/>
        <v>0</v>
      </c>
      <c r="BL21" s="648">
        <f t="shared" si="23"/>
        <v>0</v>
      </c>
      <c r="BM21" s="647">
        <f t="shared" si="24"/>
        <v>0</v>
      </c>
      <c r="BN21" s="647">
        <f t="shared" si="13"/>
        <v>0</v>
      </c>
      <c r="BO21" s="649">
        <f t="shared" si="14"/>
        <v>0</v>
      </c>
      <c r="BP21" s="647"/>
      <c r="BQ21" s="647">
        <v>83.5</v>
      </c>
      <c r="BR21" s="650">
        <f t="shared" si="25"/>
        <v>0</v>
      </c>
      <c r="BS21" s="650">
        <f t="shared" si="26"/>
        <v>0</v>
      </c>
      <c r="BT21" s="584"/>
      <c r="BU21" s="584"/>
    </row>
    <row r="22" spans="1:73" s="878" customFormat="1">
      <c r="A22" s="673" t="s">
        <v>336</v>
      </c>
      <c r="B22" s="673" t="s">
        <v>495</v>
      </c>
      <c r="C22" s="201" t="s">
        <v>1521</v>
      </c>
      <c r="D22" s="625"/>
      <c r="E22" s="819" t="str">
        <f t="shared" si="1"/>
        <v>Fattened chicken</v>
      </c>
      <c r="F22" s="904">
        <f t="shared" si="2"/>
        <v>0</v>
      </c>
      <c r="G22" s="905">
        <v>0</v>
      </c>
      <c r="H22" s="906">
        <v>0</v>
      </c>
      <c r="I22" s="906">
        <v>0</v>
      </c>
      <c r="J22" s="799">
        <v>0</v>
      </c>
      <c r="K22" s="800">
        <v>1</v>
      </c>
      <c r="L22" s="885">
        <f t="shared" si="15"/>
        <v>0</v>
      </c>
      <c r="M22" s="899">
        <f t="shared" si="3"/>
        <v>0</v>
      </c>
      <c r="N22" s="899"/>
      <c r="O22" s="899"/>
      <c r="P22" s="899"/>
      <c r="Q22" s="899"/>
      <c r="R22" s="899"/>
      <c r="S22" s="627">
        <v>32</v>
      </c>
      <c r="T22" s="628"/>
      <c r="U22" s="628"/>
      <c r="V22" s="627">
        <v>75</v>
      </c>
      <c r="W22" s="628"/>
      <c r="X22" s="628"/>
      <c r="Y22" s="629">
        <f t="shared" si="16"/>
        <v>5.4</v>
      </c>
      <c r="Z22" s="627">
        <v>5.4</v>
      </c>
      <c r="AA22" s="627">
        <v>5.4</v>
      </c>
      <c r="AB22" s="630">
        <v>7.2222222222222214</v>
      </c>
      <c r="AC22" s="631">
        <f t="shared" si="17"/>
        <v>3.78</v>
      </c>
      <c r="AD22" s="632">
        <v>0.7</v>
      </c>
      <c r="AE22" s="633">
        <v>69</v>
      </c>
      <c r="AF22" s="633">
        <v>70</v>
      </c>
      <c r="AG22" s="627">
        <v>470</v>
      </c>
      <c r="AH22" s="629"/>
      <c r="AI22" s="629"/>
      <c r="AJ22" s="627">
        <v>65</v>
      </c>
      <c r="AK22" s="630">
        <f>AJ22*$AG22/100</f>
        <v>305.5</v>
      </c>
      <c r="AL22" s="634">
        <f t="shared" si="4"/>
        <v>0</v>
      </c>
      <c r="AM22" s="635">
        <f t="shared" si="5"/>
        <v>0</v>
      </c>
      <c r="AN22" s="636">
        <f t="shared" si="6"/>
        <v>0</v>
      </c>
      <c r="AO22" s="637">
        <f t="shared" si="7"/>
        <v>0</v>
      </c>
      <c r="AP22" s="638" t="e">
        <f t="shared" si="8"/>
        <v>#N/A</v>
      </c>
      <c r="AQ22" s="639" t="e">
        <f t="shared" si="19"/>
        <v>#N/A</v>
      </c>
      <c r="AR22" s="640" t="e">
        <f t="shared" si="9"/>
        <v>#N/A</v>
      </c>
      <c r="AS22" s="641" t="e">
        <f t="shared" si="10"/>
        <v>#DIV/0!</v>
      </c>
      <c r="AT22" s="642"/>
      <c r="AU22" s="642"/>
      <c r="AV22" s="642"/>
      <c r="AW22" s="643">
        <f t="shared" si="20"/>
        <v>0</v>
      </c>
      <c r="AX22" s="643">
        <v>0</v>
      </c>
      <c r="AY22" s="584"/>
      <c r="AZ22" s="644"/>
      <c r="BA22" s="644"/>
      <c r="BB22" s="644"/>
      <c r="BC22" s="644"/>
      <c r="BD22" s="645"/>
      <c r="BE22" s="645" t="e">
        <f t="shared" si="11"/>
        <v>#DIV/0!</v>
      </c>
      <c r="BF22" s="645" t="e">
        <f t="shared" si="12"/>
        <v>#DIV/0!</v>
      </c>
      <c r="BG22" s="646">
        <v>4.0000000000000001E-3</v>
      </c>
      <c r="BH22" s="646">
        <f t="shared" si="21"/>
        <v>0</v>
      </c>
      <c r="BI22" s="646"/>
      <c r="BJ22" s="646">
        <v>8.0000000000000002E-3</v>
      </c>
      <c r="BK22" s="647">
        <f t="shared" si="22"/>
        <v>0</v>
      </c>
      <c r="BL22" s="648">
        <f t="shared" si="23"/>
        <v>0</v>
      </c>
      <c r="BM22" s="647">
        <f t="shared" si="24"/>
        <v>0</v>
      </c>
      <c r="BN22" s="647">
        <f t="shared" si="13"/>
        <v>0</v>
      </c>
      <c r="BO22" s="649">
        <f t="shared" si="14"/>
        <v>0</v>
      </c>
      <c r="BP22" s="647"/>
      <c r="BQ22" s="647">
        <v>127.8</v>
      </c>
      <c r="BR22" s="650">
        <f t="shared" si="25"/>
        <v>0</v>
      </c>
      <c r="BS22" s="650">
        <f t="shared" si="26"/>
        <v>0</v>
      </c>
      <c r="BT22" s="584"/>
      <c r="BU22" s="584"/>
    </row>
    <row r="23" spans="1:73" s="878" customFormat="1">
      <c r="A23" s="673"/>
      <c r="B23" s="673"/>
      <c r="C23" s="201"/>
      <c r="D23" s="625"/>
      <c r="E23" s="853"/>
      <c r="F23" s="853"/>
      <c r="G23" s="853"/>
      <c r="H23" s="853"/>
      <c r="I23" s="853"/>
      <c r="J23" s="853"/>
      <c r="K23" s="853"/>
      <c r="L23" s="853"/>
      <c r="M23" s="853"/>
      <c r="N23" s="853"/>
      <c r="O23" s="853"/>
      <c r="P23" s="853"/>
      <c r="Q23" s="853"/>
      <c r="R23" s="853"/>
      <c r="S23" s="627"/>
      <c r="T23" s="628"/>
      <c r="U23" s="628"/>
      <c r="V23" s="627"/>
      <c r="W23" s="628"/>
      <c r="X23" s="628"/>
      <c r="Y23" s="629"/>
      <c r="Z23" s="627"/>
      <c r="AA23" s="627"/>
      <c r="AB23" s="630"/>
      <c r="AC23" s="631"/>
      <c r="AD23" s="632"/>
      <c r="AE23" s="633"/>
      <c r="AF23" s="633"/>
      <c r="AG23" s="627"/>
      <c r="AH23" s="629"/>
      <c r="AI23" s="629"/>
      <c r="AJ23" s="627"/>
      <c r="AK23" s="630"/>
      <c r="AL23" s="634"/>
      <c r="AM23" s="635"/>
      <c r="AN23" s="636"/>
      <c r="AO23" s="637"/>
      <c r="AP23" s="638"/>
      <c r="AQ23" s="639"/>
      <c r="AR23" s="640"/>
      <c r="AS23" s="641"/>
      <c r="AT23" s="642"/>
      <c r="AU23" s="642"/>
      <c r="AV23" s="642"/>
      <c r="AW23" s="643"/>
      <c r="AX23" s="643"/>
      <c r="AY23" s="584"/>
      <c r="AZ23" s="644"/>
      <c r="BA23" s="644"/>
      <c r="BB23" s="644"/>
      <c r="BC23" s="644"/>
      <c r="BD23" s="645"/>
      <c r="BE23" s="645"/>
      <c r="BF23" s="645"/>
      <c r="BG23" s="646"/>
      <c r="BH23" s="646"/>
      <c r="BI23" s="646"/>
      <c r="BJ23" s="646"/>
      <c r="BK23" s="647"/>
      <c r="BL23" s="648"/>
      <c r="BM23" s="647"/>
      <c r="BN23" s="647"/>
      <c r="BO23" s="649"/>
      <c r="BP23" s="647"/>
      <c r="BQ23" s="647"/>
      <c r="BR23" s="650"/>
      <c r="BS23" s="650"/>
      <c r="BT23" s="584"/>
      <c r="BU23" s="584"/>
    </row>
    <row r="24" spans="1:73" s="878" customFormat="1" ht="14.25">
      <c r="A24" s="940" t="s">
        <v>1833</v>
      </c>
      <c r="B24" s="940" t="s">
        <v>1835</v>
      </c>
      <c r="C24" s="939" t="s">
        <v>1834</v>
      </c>
      <c r="D24" s="653"/>
      <c r="E24" s="980" t="str">
        <f t="shared" si="1"/>
        <v>Residual and waste materials</v>
      </c>
      <c r="F24" s="1021" t="str">
        <f>INDEX(menuesBG!$1:$1048576,120,sprache)</f>
        <v>t FM - tonnes fresh matter</v>
      </c>
      <c r="G24" s="1017" t="e">
        <f>Währung&amp;"/a"</f>
        <v>#N/A</v>
      </c>
      <c r="H24" s="1017" t="s">
        <v>273</v>
      </c>
      <c r="I24" s="1017" t="s">
        <v>273</v>
      </c>
      <c r="J24" s="1017"/>
      <c r="K24" s="1017"/>
      <c r="L24" s="1017" t="s">
        <v>75</v>
      </c>
      <c r="M24" s="1017" t="s">
        <v>1683</v>
      </c>
      <c r="N24" s="1017"/>
      <c r="O24" s="1017"/>
      <c r="P24" s="1017"/>
      <c r="Q24" s="1017"/>
      <c r="R24" s="1017"/>
      <c r="S24" s="1019"/>
      <c r="T24" s="1020"/>
      <c r="U24" s="1020"/>
      <c r="V24" s="1020"/>
      <c r="W24" s="1020"/>
      <c r="X24" s="1020"/>
      <c r="Y24" s="1020"/>
      <c r="Z24" s="1020"/>
      <c r="AA24" s="1020"/>
      <c r="AB24" s="1019"/>
      <c r="AC24" s="1020"/>
      <c r="AD24" s="1020"/>
      <c r="AE24" s="1020"/>
      <c r="AF24" s="1020"/>
      <c r="AG24" s="1020"/>
      <c r="AH24" s="1020"/>
      <c r="AI24" s="1020"/>
      <c r="AJ24" s="1020"/>
      <c r="AK24" s="1019"/>
      <c r="AL24" s="1020"/>
      <c r="AM24" s="1020"/>
      <c r="AN24" s="1020"/>
      <c r="AO24" s="1020"/>
      <c r="AP24" s="1020"/>
      <c r="AQ24" s="1020"/>
      <c r="AR24" s="1020"/>
      <c r="AS24" s="1020"/>
      <c r="AT24" s="1019"/>
      <c r="AU24" s="1020"/>
      <c r="AV24" s="1020"/>
      <c r="AW24" s="1020"/>
      <c r="AX24" s="1020"/>
      <c r="AY24" s="1020"/>
      <c r="AZ24" s="1020"/>
      <c r="BA24" s="1020"/>
      <c r="BB24" s="1020"/>
      <c r="BC24" s="1019"/>
      <c r="BD24" s="1020"/>
      <c r="BE24" s="1020" t="e">
        <f t="shared" si="11"/>
        <v>#VALUE!</v>
      </c>
      <c r="BF24" s="1020" t="e">
        <f t="shared" si="12"/>
        <v>#DIV/0!</v>
      </c>
      <c r="BG24" s="1020"/>
      <c r="BH24" s="1020"/>
      <c r="BI24" s="1020"/>
      <c r="BJ24" s="1020"/>
      <c r="BK24" s="1020"/>
      <c r="BL24" s="1019"/>
      <c r="BM24" s="1020"/>
      <c r="BN24" s="1020"/>
      <c r="BO24" s="1020"/>
      <c r="BP24" s="1020"/>
      <c r="BQ24" s="1020"/>
      <c r="BR24" s="1020"/>
      <c r="BS24" s="1020"/>
      <c r="BT24" s="1020"/>
      <c r="BU24" s="584"/>
    </row>
    <row r="25" spans="1:73" s="878" customFormat="1">
      <c r="A25" s="931" t="s">
        <v>102</v>
      </c>
      <c r="B25" s="931" t="s">
        <v>428</v>
      </c>
      <c r="C25" s="931" t="s">
        <v>1522</v>
      </c>
      <c r="D25" s="655"/>
      <c r="E25" s="819" t="str">
        <f t="shared" si="1"/>
        <v>Apple pomace</v>
      </c>
      <c r="F25" s="795">
        <v>0</v>
      </c>
      <c r="G25" s="797">
        <v>0</v>
      </c>
      <c r="H25" s="906">
        <v>0</v>
      </c>
      <c r="I25" s="906">
        <v>0</v>
      </c>
      <c r="K25" s="898"/>
      <c r="L25" s="885">
        <f t="shared" ref="L25:L51" si="36">F25*S25*V25/10</f>
        <v>0</v>
      </c>
      <c r="M25" s="899">
        <f t="shared" ref="M25:M51" si="37">F25*S25*V25/10000*AG25</f>
        <v>0</v>
      </c>
      <c r="N25" s="899"/>
      <c r="O25" s="899"/>
      <c r="P25" s="899"/>
      <c r="Q25" s="899"/>
      <c r="R25" s="897" t="str">
        <f>IF(F25&gt;0,IF(G25/F25/1000&lt;AX25,INDEX(menuesBG!$1:$1048576,Warnung,sprache),""),"")</f>
        <v/>
      </c>
      <c r="S25" s="627">
        <v>25</v>
      </c>
      <c r="T25" s="628"/>
      <c r="U25" s="628"/>
      <c r="V25" s="627">
        <v>86</v>
      </c>
      <c r="W25" s="628"/>
      <c r="X25" s="628"/>
      <c r="Y25" s="656">
        <f>(Z25+AA25)/2</f>
        <v>1.1000000000000001</v>
      </c>
      <c r="Z25" s="628">
        <v>1.1000000000000001</v>
      </c>
      <c r="AA25" s="628">
        <v>1.1000000000000001</v>
      </c>
      <c r="AB25" s="654">
        <v>13</v>
      </c>
      <c r="AC25" s="631">
        <f t="shared" ref="AC25:AC88" si="38">AD25*Y25</f>
        <v>0.66</v>
      </c>
      <c r="AD25" s="657">
        <v>0.6</v>
      </c>
      <c r="AE25" s="633"/>
      <c r="AF25" s="633"/>
      <c r="AG25" s="629">
        <f>(AH25+AI25)/2</f>
        <v>515</v>
      </c>
      <c r="AH25" s="658">
        <v>350</v>
      </c>
      <c r="AI25" s="658">
        <v>680</v>
      </c>
      <c r="AJ25" s="627">
        <v>55</v>
      </c>
      <c r="AK25" s="630">
        <f t="shared" ref="AK25:AK87" si="39">AJ25*$AG25/100</f>
        <v>283.25</v>
      </c>
      <c r="AL25" s="634">
        <f>L25*50%*28.62%*12.5%</f>
        <v>0</v>
      </c>
      <c r="AM25" s="659">
        <v>0</v>
      </c>
      <c r="AN25" s="659">
        <v>0</v>
      </c>
      <c r="AO25" s="659">
        <v>0</v>
      </c>
      <c r="AP25" s="638" t="e">
        <f t="shared" ref="AP25:AP56" si="40">$M25*CH4_Gehalt*CH4_nichtabgedeckt*(1+Faktor_CH4_flüssig)*GärrestFlüssigMenge/(GärrestFestMenge+GärrestFlüssigMenge)</f>
        <v>#N/A</v>
      </c>
      <c r="AQ25" s="639" t="e">
        <f t="shared" ref="AQ25:AQ55" si="41">F25*1000*S25/100*Y25/100*AB25/100*NH3emittiert*AnteilNH3Lagerung*(1+NH3plus)*((1+Faktor_NH3_Behandlung)*Anteil_V_fest+(1+FaktorNH3GülleBehandlung)*Anteil_V_flüssig)</f>
        <v>#N/A</v>
      </c>
      <c r="AR25" s="640" t="e">
        <f t="shared" ref="AR25:AR56" si="42">IF(AR$137,F25*1000*S25/100*Y25/100*AB25/100*NH3emittiert*AR$2*(1+NH3plusAusbringung)*((1+Faktor_NH3fest_aus)*Anteil_V_fest+(1+Faktor_NH3_Ausbringung)*Anteil_V_flüssig),0)</f>
        <v>#N/A</v>
      </c>
      <c r="AS25" s="641" t="e">
        <f t="shared" ref="AS25:AS55" si="43">F25*(N2O_Gülle*Anteil_V_flüssig*(1+Faktor_N2O_GülleBehandlung)+N2O_Kompost*Anteil_V_fest*(1+Faktor_N2O_Behandlung))</f>
        <v>#DIV/0!</v>
      </c>
      <c r="AT25" s="642" t="e">
        <f>FaktorenBG!F$43*(1+FaktorenBG!F$56)*IF(Auswahl_Behandlung_fest&lt;5,$F25,0)</f>
        <v>#N/A</v>
      </c>
      <c r="AU25" s="642" t="e">
        <f>FaktorenBG!G$43*(1+FaktorenBG!G$56)*IF(Auswahl_Behandlung_fest&lt;5,$F25,0)</f>
        <v>#N/A</v>
      </c>
      <c r="AV25" s="642" t="e">
        <f>FaktorenBG!H$43*(1+FaktorenBG!H$56)*IF(Auswahl_Behandlung_fest&lt;5,$F25,0)</f>
        <v>#N/A</v>
      </c>
      <c r="AW25" s="643">
        <f t="shared" si="20"/>
        <v>0</v>
      </c>
      <c r="AX25" s="643" t="e">
        <f>INDEX(InputsBG!$1:$1048576,AX$2,MATCH(Substrates!$AY25,InputsBG!$38:$38,0))</f>
        <v>#N/A</v>
      </c>
      <c r="AY25" s="660" t="s">
        <v>1760</v>
      </c>
      <c r="AZ25" s="661">
        <f>IF($G25&lt;0,$G25*INDEX(InputsBG!$1:$1048576,AZ$2,MATCH(Substrates!$AY25,InputsBG!$38:$38,0))/$AX25,0)</f>
        <v>0</v>
      </c>
      <c r="BA25" s="661">
        <f>IF($G25&lt;0,$G25*INDEX(InputsBG!$1:$1048576,BA$2,MATCH(Substrates!$AY25,InputsBG!$38:$38,0))/$AX25,0)</f>
        <v>0</v>
      </c>
      <c r="BB25" s="661">
        <f>IF($G25&lt;0,$G25*INDEX(InputsBG!$1:$1048576,BB$2,MATCH(Substrates!$AY25,InputsBG!$38:$38,0))/$AX25,0)</f>
        <v>0</v>
      </c>
      <c r="BC25" s="661">
        <f>IF($G25&lt;0,$G25*INDEX(InputsBG!$1:$1048576,BC$2,MATCH(Substrates!$AY25,InputsBG!$38:$38,0))/$AX25,0)</f>
        <v>0</v>
      </c>
      <c r="BD25" s="662">
        <f>IF($G25&lt;0,$G25/$AX25,0)</f>
        <v>0</v>
      </c>
      <c r="BE25" s="645" t="e">
        <f t="shared" si="11"/>
        <v>#DIV/0!</v>
      </c>
      <c r="BF25" s="645" t="e">
        <f t="shared" si="12"/>
        <v>#DIV/0!</v>
      </c>
      <c r="BG25" s="663"/>
      <c r="BH25" s="584"/>
      <c r="BI25" s="584"/>
      <c r="BJ25" s="584"/>
      <c r="BK25" s="584"/>
      <c r="BL25" s="584"/>
      <c r="BM25" s="584"/>
      <c r="BN25" s="584"/>
      <c r="BO25" s="584"/>
      <c r="BP25" s="584"/>
      <c r="BQ25" s="584"/>
      <c r="BR25" s="584"/>
      <c r="BS25" s="584"/>
      <c r="BT25" s="584" t="str">
        <f>LEFT(AY25,FIND("/",AY25)-1)</f>
        <v>apple ÖLN, at farm</v>
      </c>
      <c r="BU25" s="584"/>
    </row>
    <row r="26" spans="1:73" s="878" customFormat="1">
      <c r="A26" s="932" t="s">
        <v>127</v>
      </c>
      <c r="B26" s="931" t="s">
        <v>755</v>
      </c>
      <c r="C26" s="201" t="s">
        <v>1523</v>
      </c>
      <c r="D26" s="655"/>
      <c r="E26" s="819" t="str">
        <f t="shared" si="1"/>
        <v>Bakery waste, confectionery waste, dough and flour residues</v>
      </c>
      <c r="F26" s="795">
        <v>0</v>
      </c>
      <c r="G26" s="797">
        <v>0</v>
      </c>
      <c r="H26" s="906">
        <v>0</v>
      </c>
      <c r="I26" s="906">
        <v>0</v>
      </c>
      <c r="K26" s="898"/>
      <c r="L26" s="885">
        <f>F26*S26*V26/10</f>
        <v>0</v>
      </c>
      <c r="M26" s="899">
        <f t="shared" si="37"/>
        <v>0</v>
      </c>
      <c r="N26" s="899"/>
      <c r="O26" s="899"/>
      <c r="P26" s="899"/>
      <c r="Q26" s="899"/>
      <c r="R26" s="897" t="str">
        <f>IF(F26&gt;0,IF(G26/F26/1000&lt;AX26,INDEX(menuesBG!$1:$1048576,Warnung,sprache),""),"")</f>
        <v/>
      </c>
      <c r="S26" s="627">
        <v>88</v>
      </c>
      <c r="T26" s="628"/>
      <c r="U26" s="628"/>
      <c r="V26" s="627">
        <v>97</v>
      </c>
      <c r="W26" s="628"/>
      <c r="X26" s="628"/>
      <c r="Y26" s="656">
        <f t="shared" ref="Y26:Y88" si="44">(Z26+AA26)/2</f>
        <v>2.8</v>
      </c>
      <c r="Z26" s="664">
        <v>0.6</v>
      </c>
      <c r="AA26" s="664">
        <v>5</v>
      </c>
      <c r="AB26" s="665">
        <f>AVERAGE(0.01,1.1)/AVERAGE(0.6,5)*100</f>
        <v>19.821428571428573</v>
      </c>
      <c r="AC26" s="631">
        <f t="shared" si="38"/>
        <v>1.7266666666666661</v>
      </c>
      <c r="AD26" s="666">
        <f t="shared" ref="AD26:AF27" si="45">AD$138</f>
        <v>0.61666666666666647</v>
      </c>
      <c r="AE26" s="667">
        <f t="shared" si="45"/>
        <v>45.65</v>
      </c>
      <c r="AF26" s="667">
        <f t="shared" si="45"/>
        <v>50.55</v>
      </c>
      <c r="AG26" s="627">
        <v>790</v>
      </c>
      <c r="AH26" s="633"/>
      <c r="AI26" s="633"/>
      <c r="AJ26" s="627">
        <v>53</v>
      </c>
      <c r="AK26" s="630">
        <f t="shared" si="39"/>
        <v>418.7</v>
      </c>
      <c r="AL26" s="634">
        <f t="shared" ref="AL26:AL82" si="46">L26*50%*28.62%*12.5%</f>
        <v>0</v>
      </c>
      <c r="AM26" s="659">
        <v>0</v>
      </c>
      <c r="AN26" s="659">
        <v>0</v>
      </c>
      <c r="AO26" s="659">
        <v>0</v>
      </c>
      <c r="AP26" s="638" t="e">
        <f t="shared" si="40"/>
        <v>#N/A</v>
      </c>
      <c r="AQ26" s="639" t="e">
        <f t="shared" si="41"/>
        <v>#N/A</v>
      </c>
      <c r="AR26" s="640" t="e">
        <f t="shared" si="42"/>
        <v>#N/A</v>
      </c>
      <c r="AS26" s="641" t="e">
        <f t="shared" si="43"/>
        <v>#DIV/0!</v>
      </c>
      <c r="AT26" s="642" t="e">
        <f>FaktorenBG!F$43*(1+FaktorenBG!F$56)*IF(Auswahl_Behandlung_fest&lt;5,$F26,0)</f>
        <v>#N/A</v>
      </c>
      <c r="AU26" s="642" t="e">
        <f>FaktorenBG!G$43*(1+FaktorenBG!G$56)*IF(Auswahl_Behandlung_fest&lt;5,$F26,0)</f>
        <v>#N/A</v>
      </c>
      <c r="AV26" s="642" t="e">
        <f>FaktorenBG!H$43*(1+FaktorenBG!H$56)*IF(Auswahl_Behandlung_fest&lt;5,$F26,0)</f>
        <v>#N/A</v>
      </c>
      <c r="AW26" s="643">
        <f t="shared" si="20"/>
        <v>0</v>
      </c>
      <c r="AX26" s="643" t="e">
        <f>INDEX(InputsBG!$1:$1048576,AX$2,MATCH(Substrates!$AY26,InputsBG!$38:$38,0))</f>
        <v>#N/A</v>
      </c>
      <c r="AY26" s="660" t="s">
        <v>1761</v>
      </c>
      <c r="AZ26" s="661">
        <f>IF($G26&lt;0,$G26*INDEX(InputsBG!$1:$1048576,AZ$2,MATCH(Substrates!$AY26,InputsBG!$38:$38,0))/$AX26,0)</f>
        <v>0</v>
      </c>
      <c r="BA26" s="661">
        <f>IF($G26&lt;0,$G26*INDEX(InputsBG!$1:$1048576,BA$2,MATCH(Substrates!$AY26,InputsBG!$38:$38,0))/$AX26,0)</f>
        <v>0</v>
      </c>
      <c r="BB26" s="661">
        <f>IF($G26&lt;0,$G26*INDEX(InputsBG!$1:$1048576,BB$2,MATCH(Substrates!$AY26,InputsBG!$38:$38,0))/$AX26,0)</f>
        <v>0</v>
      </c>
      <c r="BC26" s="661">
        <f>IF($G26&lt;0,$G26*INDEX(InputsBG!$1:$1048576,BC$2,MATCH(Substrates!$AY26,InputsBG!$38:$38,0))/$AX26,0)</f>
        <v>0</v>
      </c>
      <c r="BD26" s="662">
        <f t="shared" ref="BD26:BD90" si="47">IF($G26&lt;0,$G26/$AX26,0)</f>
        <v>0</v>
      </c>
      <c r="BE26" s="645" t="e">
        <f t="shared" si="11"/>
        <v>#DIV/0!</v>
      </c>
      <c r="BF26" s="645" t="e">
        <f t="shared" si="12"/>
        <v>#DIV/0!</v>
      </c>
      <c r="BG26" s="663"/>
      <c r="BH26" s="584"/>
      <c r="BI26" s="584"/>
      <c r="BJ26" s="584"/>
      <c r="BK26" s="584"/>
      <c r="BL26" s="584"/>
      <c r="BM26" s="584"/>
      <c r="BN26" s="584"/>
      <c r="BO26" s="584"/>
      <c r="BP26" s="584"/>
      <c r="BQ26" s="584"/>
      <c r="BR26" s="584"/>
      <c r="BS26" s="584"/>
      <c r="BT26" s="584" t="str">
        <f t="shared" ref="BT26:BT89" si="48">LEFT(AY26,FIND("/",AY26)-1)</f>
        <v>bread, at bakery</v>
      </c>
      <c r="BU26" s="584"/>
    </row>
    <row r="27" spans="1:73" s="878" customFormat="1">
      <c r="A27" s="932" t="s">
        <v>123</v>
      </c>
      <c r="B27" s="673" t="s">
        <v>429</v>
      </c>
      <c r="C27" s="201" t="s">
        <v>1524</v>
      </c>
      <c r="D27" s="625"/>
      <c r="E27" s="819" t="str">
        <f t="shared" si="1"/>
        <v xml:space="preserve">Tree, vine and shrub pruning </v>
      </c>
      <c r="F27" s="795">
        <v>0</v>
      </c>
      <c r="G27" s="797">
        <v>0</v>
      </c>
      <c r="H27" s="906">
        <v>0</v>
      </c>
      <c r="I27" s="906">
        <v>0</v>
      </c>
      <c r="K27" s="898"/>
      <c r="L27" s="885">
        <f t="shared" si="36"/>
        <v>0</v>
      </c>
      <c r="M27" s="899">
        <f t="shared" si="37"/>
        <v>0</v>
      </c>
      <c r="N27" s="899"/>
      <c r="O27" s="899"/>
      <c r="P27" s="899"/>
      <c r="Q27" s="899"/>
      <c r="R27" s="897" t="str">
        <f>IF(F27&gt;0,IF(G27/F27/1000&lt;AX27,INDEX(menuesBG!$1:$1048576,Warnung,sprache),""),"")</f>
        <v/>
      </c>
      <c r="S27" s="627">
        <v>12</v>
      </c>
      <c r="T27" s="628"/>
      <c r="U27" s="628"/>
      <c r="V27" s="627">
        <v>83</v>
      </c>
      <c r="W27" s="628"/>
      <c r="X27" s="628"/>
      <c r="Y27" s="656">
        <f t="shared" si="44"/>
        <v>2.9930555555555554</v>
      </c>
      <c r="Z27" s="668">
        <f>Z$138</f>
        <v>2.3277777777777775</v>
      </c>
      <c r="AA27" s="668">
        <f>AA$138</f>
        <v>3.6583333333333337</v>
      </c>
      <c r="AB27" s="654">
        <v>13</v>
      </c>
      <c r="AC27" s="631">
        <f t="shared" si="38"/>
        <v>1.8457175925925919</v>
      </c>
      <c r="AD27" s="666">
        <f t="shared" si="45"/>
        <v>0.61666666666666647</v>
      </c>
      <c r="AE27" s="667">
        <f t="shared" si="45"/>
        <v>45.65</v>
      </c>
      <c r="AF27" s="667">
        <f t="shared" si="45"/>
        <v>50.55</v>
      </c>
      <c r="AG27" s="627">
        <v>220</v>
      </c>
      <c r="AH27" s="633"/>
      <c r="AI27" s="633"/>
      <c r="AJ27" s="627">
        <v>50</v>
      </c>
      <c r="AK27" s="630">
        <f t="shared" si="39"/>
        <v>110</v>
      </c>
      <c r="AL27" s="634">
        <f t="shared" si="46"/>
        <v>0</v>
      </c>
      <c r="AM27" s="659">
        <v>0</v>
      </c>
      <c r="AN27" s="659">
        <v>0</v>
      </c>
      <c r="AO27" s="659">
        <v>0</v>
      </c>
      <c r="AP27" s="638" t="e">
        <f t="shared" si="40"/>
        <v>#N/A</v>
      </c>
      <c r="AQ27" s="639" t="e">
        <f t="shared" si="41"/>
        <v>#N/A</v>
      </c>
      <c r="AR27" s="640" t="e">
        <f t="shared" si="42"/>
        <v>#N/A</v>
      </c>
      <c r="AS27" s="641" t="e">
        <f t="shared" si="43"/>
        <v>#DIV/0!</v>
      </c>
      <c r="AT27" s="642" t="e">
        <f>FaktorenBG!F$43*(1+FaktorenBG!F$56)*IF(Auswahl_Behandlung_fest&lt;5,$F27,0)</f>
        <v>#N/A</v>
      </c>
      <c r="AU27" s="642" t="e">
        <f>FaktorenBG!G$43*(1+FaktorenBG!G$56)*IF(Auswahl_Behandlung_fest&lt;5,$F27,0)</f>
        <v>#N/A</v>
      </c>
      <c r="AV27" s="642" t="e">
        <f>FaktorenBG!H$43*(1+FaktorenBG!H$56)*IF(Auswahl_Behandlung_fest&lt;5,$F27,0)</f>
        <v>#N/A</v>
      </c>
      <c r="AW27" s="643">
        <f t="shared" si="20"/>
        <v>0</v>
      </c>
      <c r="AX27" s="643" t="e">
        <f>INDEX(InputsBG!$1:$1048576,AX$2,MATCH(Substrates!$AY27,InputsBG!$38:$38,0))</f>
        <v>#N/A</v>
      </c>
      <c r="AY27" s="669" t="s">
        <v>893</v>
      </c>
      <c r="AZ27" s="661">
        <f>IF($G27&lt;0,$G27*INDEX(InputsBG!$1:$1048576,AZ$2,MATCH(Substrates!$AY27,InputsBG!$38:$38,0))/$AX27,0)</f>
        <v>0</v>
      </c>
      <c r="BA27" s="661">
        <f>IF($G27&lt;0,$G27*INDEX(InputsBG!$1:$1048576,BA$2,MATCH(Substrates!$AY27,InputsBG!$38:$38,0))/$AX27,0)</f>
        <v>0</v>
      </c>
      <c r="BB27" s="661">
        <f>IF($G27&lt;0,$G27*INDEX(InputsBG!$1:$1048576,BB$2,MATCH(Substrates!$AY27,InputsBG!$38:$38,0))/$AX27,0)</f>
        <v>0</v>
      </c>
      <c r="BC27" s="661">
        <f>IF($G27&lt;0,$G27*INDEX(InputsBG!$1:$1048576,BC$2,MATCH(Substrates!$AY27,InputsBG!$38:$38,0))/$AX27,0)</f>
        <v>0</v>
      </c>
      <c r="BD27" s="662">
        <f t="shared" si="47"/>
        <v>0</v>
      </c>
      <c r="BE27" s="645" t="e">
        <f t="shared" si="11"/>
        <v>#DIV/0!</v>
      </c>
      <c r="BF27" s="645" t="e">
        <f t="shared" si="12"/>
        <v>#DIV/0!</v>
      </c>
      <c r="BG27" s="663"/>
      <c r="BH27" s="584"/>
      <c r="BI27" s="584"/>
      <c r="BJ27" s="584"/>
      <c r="BK27" s="584"/>
      <c r="BL27" s="584"/>
      <c r="BM27" s="584"/>
      <c r="BN27" s="584"/>
      <c r="BO27" s="584"/>
      <c r="BP27" s="584"/>
      <c r="BQ27" s="584"/>
      <c r="BR27" s="584"/>
      <c r="BS27" s="584"/>
      <c r="BT27" s="584" t="e">
        <f t="shared" si="48"/>
        <v>#VALUE!</v>
      </c>
      <c r="BU27" s="584"/>
    </row>
    <row r="28" spans="1:73" s="878" customFormat="1">
      <c r="A28" s="673" t="s">
        <v>104</v>
      </c>
      <c r="B28" s="673" t="s">
        <v>430</v>
      </c>
      <c r="C28" s="201" t="s">
        <v>1525</v>
      </c>
      <c r="D28" s="625"/>
      <c r="E28" s="819" t="str">
        <f t="shared" si="1"/>
        <v>Brewer's grains ensilage</v>
      </c>
      <c r="F28" s="795">
        <v>0</v>
      </c>
      <c r="G28" s="797">
        <v>0</v>
      </c>
      <c r="H28" s="906">
        <v>0</v>
      </c>
      <c r="I28" s="906">
        <v>0</v>
      </c>
      <c r="K28" s="898"/>
      <c r="L28" s="885">
        <f t="shared" si="36"/>
        <v>0</v>
      </c>
      <c r="M28" s="899">
        <f t="shared" si="37"/>
        <v>0</v>
      </c>
      <c r="N28" s="899"/>
      <c r="O28" s="899"/>
      <c r="P28" s="899"/>
      <c r="Q28" s="899"/>
      <c r="R28" s="897" t="str">
        <f>IF(F28&gt;0,IF(G28/F28/1000&lt;AX28,INDEX(menuesBG!$1:$1048576,Warnung,sprache),""),"")</f>
        <v/>
      </c>
      <c r="S28" s="629">
        <f t="shared" ref="S28:S82" si="49">(T28+U28)/2</f>
        <v>26.5</v>
      </c>
      <c r="T28" s="628">
        <v>25</v>
      </c>
      <c r="U28" s="628">
        <v>28</v>
      </c>
      <c r="V28" s="629">
        <f t="shared" ref="V28:V82" si="50">(W28+X28)/2</f>
        <v>85</v>
      </c>
      <c r="W28" s="628">
        <v>85</v>
      </c>
      <c r="X28" s="628">
        <v>85</v>
      </c>
      <c r="Y28" s="656">
        <f t="shared" si="44"/>
        <v>4.5</v>
      </c>
      <c r="Z28" s="628">
        <v>4.5</v>
      </c>
      <c r="AA28" s="628">
        <v>4.5</v>
      </c>
      <c r="AB28" s="654">
        <v>13</v>
      </c>
      <c r="AC28" s="631">
        <f t="shared" si="38"/>
        <v>3.15</v>
      </c>
      <c r="AD28" s="657">
        <v>0.7</v>
      </c>
      <c r="AE28" s="633"/>
      <c r="AF28" s="633"/>
      <c r="AG28" s="629">
        <f t="shared" ref="AG28:AG82" si="51">(AH28+AI28)/2</f>
        <v>600</v>
      </c>
      <c r="AH28" s="658">
        <v>550</v>
      </c>
      <c r="AI28" s="658">
        <v>650</v>
      </c>
      <c r="AJ28" s="627">
        <v>60</v>
      </c>
      <c r="AK28" s="630">
        <f t="shared" si="39"/>
        <v>360</v>
      </c>
      <c r="AL28" s="634">
        <f t="shared" si="46"/>
        <v>0</v>
      </c>
      <c r="AM28" s="659">
        <v>0</v>
      </c>
      <c r="AN28" s="659">
        <v>0</v>
      </c>
      <c r="AO28" s="659">
        <v>0</v>
      </c>
      <c r="AP28" s="638" t="e">
        <f t="shared" si="40"/>
        <v>#N/A</v>
      </c>
      <c r="AQ28" s="639" t="e">
        <f t="shared" si="41"/>
        <v>#N/A</v>
      </c>
      <c r="AR28" s="640" t="e">
        <f t="shared" si="42"/>
        <v>#N/A</v>
      </c>
      <c r="AS28" s="641" t="e">
        <f t="shared" si="43"/>
        <v>#DIV/0!</v>
      </c>
      <c r="AT28" s="642" t="e">
        <f>FaktorenBG!F$43*(1+FaktorenBG!F$56)*IF(Auswahl_Behandlung_fest&lt;5,$F28,0)</f>
        <v>#N/A</v>
      </c>
      <c r="AU28" s="642" t="e">
        <f>FaktorenBG!G$43*(1+FaktorenBG!G$56)*IF(Auswahl_Behandlung_fest&lt;5,$F28,0)</f>
        <v>#N/A</v>
      </c>
      <c r="AV28" s="642" t="e">
        <f>FaktorenBG!H$43*(1+FaktorenBG!H$56)*IF(Auswahl_Behandlung_fest&lt;5,$F28,0)</f>
        <v>#N/A</v>
      </c>
      <c r="AW28" s="643">
        <f t="shared" si="20"/>
        <v>0</v>
      </c>
      <c r="AX28" s="643" t="e">
        <f>INDEX(InputsBG!$1:$1048576,AX$2,MATCH(Substrates!$AY28,InputsBG!$38:$38,0))</f>
        <v>#N/A</v>
      </c>
      <c r="AY28" s="660" t="s">
        <v>1764</v>
      </c>
      <c r="AZ28" s="661">
        <f>IF($G28&lt;0,$G28*INDEX(InputsBG!$1:$1048576,AZ$2,MATCH(Substrates!$AY28,InputsBG!$38:$38,0))/$AX28,0)</f>
        <v>0</v>
      </c>
      <c r="BA28" s="661">
        <f>IF($G28&lt;0,$G28*INDEX(InputsBG!$1:$1048576,BA$2,MATCH(Substrates!$AY28,InputsBG!$38:$38,0))/$AX28,0)</f>
        <v>0</v>
      </c>
      <c r="BB28" s="661">
        <f>IF($G28&lt;0,$G28*INDEX(InputsBG!$1:$1048576,BB$2,MATCH(Substrates!$AY28,InputsBG!$38:$38,0))/$AX28,0)</f>
        <v>0</v>
      </c>
      <c r="BC28" s="661">
        <f>IF($G28&lt;0,$G28*INDEX(InputsBG!$1:$1048576,BC$2,MATCH(Substrates!$AY28,InputsBG!$38:$38,0))/$AX28,0)</f>
        <v>0</v>
      </c>
      <c r="BD28" s="662">
        <f t="shared" si="47"/>
        <v>0</v>
      </c>
      <c r="BE28" s="645" t="e">
        <f t="shared" si="11"/>
        <v>#DIV/0!</v>
      </c>
      <c r="BF28" s="645" t="e">
        <f t="shared" si="12"/>
        <v>#DIV/0!</v>
      </c>
      <c r="BG28" s="663"/>
      <c r="BH28" s="584"/>
      <c r="BI28" s="584"/>
      <c r="BJ28" s="584"/>
      <c r="BK28" s="584"/>
      <c r="BL28" s="584"/>
      <c r="BM28" s="584"/>
      <c r="BN28" s="584"/>
      <c r="BO28" s="584"/>
      <c r="BP28" s="584"/>
      <c r="BQ28" s="584"/>
      <c r="BR28" s="584"/>
      <c r="BS28" s="584"/>
      <c r="BT28" s="584" t="str">
        <f t="shared" si="48"/>
        <v>by-products, wheat milling, at plant</v>
      </c>
      <c r="BU28" s="584"/>
    </row>
    <row r="29" spans="1:73" s="878" customFormat="1">
      <c r="A29" s="933" t="s">
        <v>157</v>
      </c>
      <c r="B29" s="673" t="s">
        <v>496</v>
      </c>
      <c r="C29" s="201" t="s">
        <v>1627</v>
      </c>
      <c r="D29" s="625"/>
      <c r="E29" s="819" t="str">
        <f t="shared" si="1"/>
        <v>Brewer's grains, malt grains, hop grains (and their -germ, -dust, -dull and -sludge)</v>
      </c>
      <c r="F29" s="795">
        <v>0</v>
      </c>
      <c r="G29" s="797">
        <v>0</v>
      </c>
      <c r="H29" s="906">
        <v>0</v>
      </c>
      <c r="I29" s="906">
        <v>0</v>
      </c>
      <c r="K29" s="898"/>
      <c r="L29" s="885">
        <f t="shared" si="36"/>
        <v>0</v>
      </c>
      <c r="M29" s="899">
        <f t="shared" si="37"/>
        <v>0</v>
      </c>
      <c r="N29" s="899"/>
      <c r="O29" s="899"/>
      <c r="P29" s="899"/>
      <c r="Q29" s="899"/>
      <c r="R29" s="897" t="str">
        <f>IF(F29&gt;0,IF(G29/F29/1000&lt;AX29,INDEX(menuesBG!$1:$1048576,Warnung,sprache),""),"")</f>
        <v/>
      </c>
      <c r="S29" s="629">
        <f t="shared" si="49"/>
        <v>22.5</v>
      </c>
      <c r="T29" s="628">
        <v>15</v>
      </c>
      <c r="U29" s="628">
        <v>30</v>
      </c>
      <c r="V29" s="629">
        <f t="shared" si="50"/>
        <v>80</v>
      </c>
      <c r="W29" s="628">
        <v>65</v>
      </c>
      <c r="X29" s="628">
        <v>95</v>
      </c>
      <c r="Y29" s="656">
        <f t="shared" si="44"/>
        <v>4.5</v>
      </c>
      <c r="Z29" s="628">
        <v>4</v>
      </c>
      <c r="AA29" s="628">
        <v>5</v>
      </c>
      <c r="AB29" s="654">
        <v>13</v>
      </c>
      <c r="AC29" s="631">
        <f t="shared" si="38"/>
        <v>3.15</v>
      </c>
      <c r="AD29" s="657">
        <v>0.7</v>
      </c>
      <c r="AE29" s="633"/>
      <c r="AF29" s="633"/>
      <c r="AG29" s="629">
        <f t="shared" si="51"/>
        <v>625</v>
      </c>
      <c r="AH29" s="658">
        <v>500</v>
      </c>
      <c r="AI29" s="658">
        <v>750</v>
      </c>
      <c r="AJ29" s="627">
        <v>60</v>
      </c>
      <c r="AK29" s="630">
        <f t="shared" si="39"/>
        <v>375</v>
      </c>
      <c r="AL29" s="634">
        <f t="shared" si="46"/>
        <v>0</v>
      </c>
      <c r="AM29" s="659">
        <v>0</v>
      </c>
      <c r="AN29" s="659">
        <v>0</v>
      </c>
      <c r="AO29" s="659">
        <v>0</v>
      </c>
      <c r="AP29" s="638" t="e">
        <f t="shared" si="40"/>
        <v>#N/A</v>
      </c>
      <c r="AQ29" s="639" t="e">
        <f t="shared" si="41"/>
        <v>#N/A</v>
      </c>
      <c r="AR29" s="640" t="e">
        <f t="shared" si="42"/>
        <v>#N/A</v>
      </c>
      <c r="AS29" s="641" t="e">
        <f t="shared" si="43"/>
        <v>#DIV/0!</v>
      </c>
      <c r="AT29" s="642" t="e">
        <f>FaktorenBG!F$43*(1+FaktorenBG!F$56)*IF(Auswahl_Behandlung_fest&lt;5,$F29,0)</f>
        <v>#N/A</v>
      </c>
      <c r="AU29" s="642" t="e">
        <f>FaktorenBG!G$43*(1+FaktorenBG!G$56)*IF(Auswahl_Behandlung_fest&lt;5,$F29,0)</f>
        <v>#N/A</v>
      </c>
      <c r="AV29" s="642" t="e">
        <f>FaktorenBG!H$43*(1+FaktorenBG!H$56)*IF(Auswahl_Behandlung_fest&lt;5,$F29,0)</f>
        <v>#N/A</v>
      </c>
      <c r="AW29" s="643">
        <f t="shared" si="20"/>
        <v>0</v>
      </c>
      <c r="AX29" s="643" t="e">
        <f>INDEX(InputsBG!$1:$1048576,AX$2,MATCH(Substrates!$AY29,InputsBG!$38:$38,0))</f>
        <v>#N/A</v>
      </c>
      <c r="AY29" s="660" t="s">
        <v>1764</v>
      </c>
      <c r="AZ29" s="661">
        <f>IF($G29&lt;0,$G29*INDEX(InputsBG!$1:$1048576,AZ$2,MATCH(Substrates!$AY29,InputsBG!$38:$38,0))/$AX29,0)</f>
        <v>0</v>
      </c>
      <c r="BA29" s="661">
        <f>IF($G29&lt;0,$G29*INDEX(InputsBG!$1:$1048576,BA$2,MATCH(Substrates!$AY29,InputsBG!$38:$38,0))/$AX29,0)</f>
        <v>0</v>
      </c>
      <c r="BB29" s="661">
        <f>IF($G29&lt;0,$G29*INDEX(InputsBG!$1:$1048576,BB$2,MATCH(Substrates!$AY29,InputsBG!$38:$38,0))/$AX29,0)</f>
        <v>0</v>
      </c>
      <c r="BC29" s="661">
        <f>IF($G29&lt;0,$G29*INDEX(InputsBG!$1:$1048576,BC$2,MATCH(Substrates!$AY29,InputsBG!$38:$38,0))/$AX29,0)</f>
        <v>0</v>
      </c>
      <c r="BD29" s="662">
        <f t="shared" si="47"/>
        <v>0</v>
      </c>
      <c r="BE29" s="645" t="e">
        <f t="shared" si="11"/>
        <v>#DIV/0!</v>
      </c>
      <c r="BF29" s="645" t="e">
        <f t="shared" si="12"/>
        <v>#DIV/0!</v>
      </c>
      <c r="BG29" s="663"/>
      <c r="BH29" s="584"/>
      <c r="BI29" s="584"/>
      <c r="BJ29" s="584"/>
      <c r="BK29" s="584"/>
      <c r="BL29" s="584"/>
      <c r="BM29" s="584"/>
      <c r="BN29" s="584"/>
      <c r="BO29" s="584"/>
      <c r="BP29" s="584"/>
      <c r="BQ29" s="584"/>
      <c r="BR29" s="584"/>
      <c r="BS29" s="584"/>
      <c r="BT29" s="584" t="str">
        <f t="shared" si="48"/>
        <v>by-products, wheat milling, at plant</v>
      </c>
      <c r="BU29" s="584"/>
    </row>
    <row r="30" spans="1:73" s="878" customFormat="1">
      <c r="A30" s="933" t="s">
        <v>152</v>
      </c>
      <c r="B30" s="673" t="s">
        <v>497</v>
      </c>
      <c r="C30" s="201" t="s">
        <v>1526</v>
      </c>
      <c r="D30" s="625"/>
      <c r="E30" s="819" t="str">
        <f t="shared" si="1"/>
        <v>Blood, fat separator residues, fish residues, meat waste</v>
      </c>
      <c r="F30" s="795">
        <v>0</v>
      </c>
      <c r="G30" s="797">
        <v>0</v>
      </c>
      <c r="H30" s="906">
        <v>0</v>
      </c>
      <c r="I30" s="906">
        <v>0</v>
      </c>
      <c r="K30" s="898"/>
      <c r="L30" s="885">
        <f t="shared" si="36"/>
        <v>0</v>
      </c>
      <c r="M30" s="899">
        <f t="shared" si="37"/>
        <v>0</v>
      </c>
      <c r="N30" s="899"/>
      <c r="O30" s="899"/>
      <c r="P30" s="899"/>
      <c r="Q30" s="899"/>
      <c r="R30" s="897" t="str">
        <f>IF(F30&gt;0,IF(G30/F30/1000&lt;AX30,INDEX(menuesBG!$1:$1048576,Warnung,sprache),""),"")</f>
        <v/>
      </c>
      <c r="S30" s="629">
        <f t="shared" si="49"/>
        <v>30.7</v>
      </c>
      <c r="T30" s="668">
        <f>T$138</f>
        <v>30.7</v>
      </c>
      <c r="U30" s="668">
        <f>U$138</f>
        <v>30.7</v>
      </c>
      <c r="V30" s="629">
        <f>(W30+X30)/2</f>
        <v>73.900000000000006</v>
      </c>
      <c r="W30" s="668">
        <f>W$138</f>
        <v>73.900000000000006</v>
      </c>
      <c r="X30" s="668">
        <f>X$138</f>
        <v>73.900000000000006</v>
      </c>
      <c r="Y30" s="656">
        <f t="shared" si="44"/>
        <v>1.85</v>
      </c>
      <c r="Z30" s="664">
        <v>0.1</v>
      </c>
      <c r="AA30" s="664">
        <v>3.6</v>
      </c>
      <c r="AB30" s="665">
        <f>AVERAGE(0.02,1.5)/AVERAGE(0.1,3.6)*100</f>
        <v>41.081081081081081</v>
      </c>
      <c r="AC30" s="631">
        <f>AD30*Y30</f>
        <v>1.1408333333333329</v>
      </c>
      <c r="AD30" s="666">
        <f>AD$138</f>
        <v>0.61666666666666647</v>
      </c>
      <c r="AE30" s="667">
        <f>AE$138</f>
        <v>45.65</v>
      </c>
      <c r="AF30" s="667">
        <f>AF$138</f>
        <v>50.55</v>
      </c>
      <c r="AG30" s="627">
        <f>(AH30+AI30)/2</f>
        <v>688</v>
      </c>
      <c r="AH30" s="668">
        <f>AH$138</f>
        <v>376</v>
      </c>
      <c r="AI30" s="627">
        <v>1000</v>
      </c>
      <c r="AJ30" s="627">
        <v>59</v>
      </c>
      <c r="AK30" s="630">
        <f t="shared" si="39"/>
        <v>405.92</v>
      </c>
      <c r="AL30" s="634">
        <f t="shared" si="46"/>
        <v>0</v>
      </c>
      <c r="AM30" s="659">
        <v>0</v>
      </c>
      <c r="AN30" s="659">
        <v>0</v>
      </c>
      <c r="AO30" s="659">
        <v>0</v>
      </c>
      <c r="AP30" s="638" t="e">
        <f t="shared" si="40"/>
        <v>#N/A</v>
      </c>
      <c r="AQ30" s="639" t="e">
        <f t="shared" si="41"/>
        <v>#N/A</v>
      </c>
      <c r="AR30" s="640" t="e">
        <f t="shared" si="42"/>
        <v>#N/A</v>
      </c>
      <c r="AS30" s="641" t="e">
        <f t="shared" si="43"/>
        <v>#DIV/0!</v>
      </c>
      <c r="AT30" s="642" t="e">
        <f>FaktorenBG!F$43*(1+FaktorenBG!F$56)*IF(Auswahl_Behandlung_fest&lt;5,$F30,0)</f>
        <v>#N/A</v>
      </c>
      <c r="AU30" s="642" t="e">
        <f>FaktorenBG!G$43*(1+FaktorenBG!G$56)*IF(Auswahl_Behandlung_fest&lt;5,$F30,0)</f>
        <v>#N/A</v>
      </c>
      <c r="AV30" s="642" t="e">
        <f>FaktorenBG!H$43*(1+FaktorenBG!H$56)*IF(Auswahl_Behandlung_fest&lt;5,$F30,0)</f>
        <v>#N/A</v>
      </c>
      <c r="AW30" s="643">
        <f t="shared" si="20"/>
        <v>0</v>
      </c>
      <c r="AX30" s="643" t="e">
        <f>INDEX(InputsBG!$1:$1048576,AX$2,MATCH(Substrates!$AY30,InputsBG!$38:$38,0))</f>
        <v>#N/A</v>
      </c>
      <c r="AY30" s="660" t="s">
        <v>1762</v>
      </c>
      <c r="AZ30" s="661">
        <f>IF($G30&lt;0,$G30*INDEX(InputsBG!$1:$1048576,AZ$2,MATCH(Substrates!$AY30,InputsBG!$38:$38,0))/$AX30,0)</f>
        <v>0</v>
      </c>
      <c r="BA30" s="661">
        <f>IF($G30&lt;0,$G30*INDEX(InputsBG!$1:$1048576,BA$2,MATCH(Substrates!$AY30,InputsBG!$38:$38,0))/$AX30,0)</f>
        <v>0</v>
      </c>
      <c r="BB30" s="661">
        <f>IF($G30&lt;0,$G30*INDEX(InputsBG!$1:$1048576,BB$2,MATCH(Substrates!$AY30,InputsBG!$38:$38,0))/$AX30,0)</f>
        <v>0</v>
      </c>
      <c r="BC30" s="661">
        <f>IF($G30&lt;0,$G30*INDEX(InputsBG!$1:$1048576,BC$2,MATCH(Substrates!$AY30,InputsBG!$38:$38,0))/$AX30,0)</f>
        <v>0</v>
      </c>
      <c r="BD30" s="662">
        <f t="shared" si="47"/>
        <v>0</v>
      </c>
      <c r="BE30" s="645" t="e">
        <f t="shared" si="11"/>
        <v>#DIV/0!</v>
      </c>
      <c r="BF30" s="645" t="e">
        <f t="shared" si="12"/>
        <v>#DIV/0!</v>
      </c>
      <c r="BG30" s="663"/>
      <c r="BH30" s="584"/>
      <c r="BI30" s="584"/>
      <c r="BJ30" s="584"/>
      <c r="BK30" s="584"/>
      <c r="BL30" s="584"/>
      <c r="BM30" s="584"/>
      <c r="BN30" s="584"/>
      <c r="BO30" s="584"/>
      <c r="BP30" s="584"/>
      <c r="BQ30" s="584"/>
      <c r="BR30" s="584"/>
      <c r="BS30" s="584"/>
      <c r="BT30" s="584" t="str">
        <f t="shared" si="48"/>
        <v>meat mixed, IP, at slaughterhouse</v>
      </c>
      <c r="BU30" s="584"/>
    </row>
    <row r="31" spans="1:73" s="878" customFormat="1">
      <c r="A31" s="673" t="s">
        <v>110</v>
      </c>
      <c r="B31" s="673" t="s">
        <v>434</v>
      </c>
      <c r="C31" s="201" t="s">
        <v>1527</v>
      </c>
      <c r="D31" s="625"/>
      <c r="E31" s="819" t="str">
        <f t="shared" si="1"/>
        <v>Blood meal, animal meal</v>
      </c>
      <c r="F31" s="795">
        <v>0</v>
      </c>
      <c r="G31" s="797">
        <v>0</v>
      </c>
      <c r="H31" s="906">
        <v>0</v>
      </c>
      <c r="I31" s="906">
        <v>0</v>
      </c>
      <c r="K31" s="898"/>
      <c r="L31" s="885">
        <f t="shared" si="36"/>
        <v>0</v>
      </c>
      <c r="M31" s="899">
        <f t="shared" si="37"/>
        <v>0</v>
      </c>
      <c r="N31" s="899"/>
      <c r="O31" s="899"/>
      <c r="P31" s="899"/>
      <c r="Q31" s="899"/>
      <c r="R31" s="897" t="str">
        <f>IF(F31&gt;0,IF(G31/F31/1000&lt;AX31,INDEX(menuesBG!$1:$1048576,Warnung,sprache),""),"")</f>
        <v/>
      </c>
      <c r="S31" s="629">
        <f t="shared" si="49"/>
        <v>90</v>
      </c>
      <c r="T31" s="628">
        <v>85</v>
      </c>
      <c r="U31" s="628">
        <v>95</v>
      </c>
      <c r="V31" s="629">
        <f t="shared" si="50"/>
        <v>80</v>
      </c>
      <c r="W31" s="628">
        <v>75</v>
      </c>
      <c r="X31" s="628">
        <v>85</v>
      </c>
      <c r="Y31" s="656">
        <f t="shared" si="44"/>
        <v>11</v>
      </c>
      <c r="Z31" s="628">
        <v>10</v>
      </c>
      <c r="AA31" s="628">
        <v>12</v>
      </c>
      <c r="AB31" s="630">
        <v>0.6</v>
      </c>
      <c r="AC31" s="631">
        <f t="shared" si="38"/>
        <v>8.25</v>
      </c>
      <c r="AD31" s="657">
        <v>0.75</v>
      </c>
      <c r="AE31" s="633"/>
      <c r="AF31" s="633"/>
      <c r="AG31" s="627">
        <f>(AH31+AI31)/2</f>
        <v>670</v>
      </c>
      <c r="AH31" s="658">
        <v>550</v>
      </c>
      <c r="AI31" s="627">
        <v>790</v>
      </c>
      <c r="AJ31" s="627">
        <v>61</v>
      </c>
      <c r="AK31" s="630">
        <f t="shared" si="39"/>
        <v>408.7</v>
      </c>
      <c r="AL31" s="634">
        <f t="shared" si="46"/>
        <v>0</v>
      </c>
      <c r="AM31" s="659">
        <v>0</v>
      </c>
      <c r="AN31" s="659">
        <v>0</v>
      </c>
      <c r="AO31" s="659">
        <v>0</v>
      </c>
      <c r="AP31" s="638" t="e">
        <f t="shared" si="40"/>
        <v>#N/A</v>
      </c>
      <c r="AQ31" s="639" t="e">
        <f t="shared" si="41"/>
        <v>#N/A</v>
      </c>
      <c r="AR31" s="640" t="e">
        <f t="shared" si="42"/>
        <v>#N/A</v>
      </c>
      <c r="AS31" s="641" t="e">
        <f t="shared" si="43"/>
        <v>#DIV/0!</v>
      </c>
      <c r="AT31" s="642" t="e">
        <f>FaktorenBG!F$43*(1+FaktorenBG!F$56)*IF(Auswahl_Behandlung_fest&lt;5,$F31,0)</f>
        <v>#N/A</v>
      </c>
      <c r="AU31" s="642" t="e">
        <f>FaktorenBG!G$43*(1+FaktorenBG!G$56)*IF(Auswahl_Behandlung_fest&lt;5,$F31,0)</f>
        <v>#N/A</v>
      </c>
      <c r="AV31" s="642" t="e">
        <f>FaktorenBG!H$43*(1+FaktorenBG!H$56)*IF(Auswahl_Behandlung_fest&lt;5,$F31,0)</f>
        <v>#N/A</v>
      </c>
      <c r="AW31" s="643">
        <f t="shared" si="20"/>
        <v>0</v>
      </c>
      <c r="AX31" s="643" t="e">
        <f>INDEX(InputsBG!$1:$1048576,AX$2,MATCH(Substrates!$AY31,InputsBG!$38:$38,0))</f>
        <v>#N/A</v>
      </c>
      <c r="AY31" s="660" t="s">
        <v>1762</v>
      </c>
      <c r="AZ31" s="661">
        <f>IF($G31&lt;0,$G31*INDEX(InputsBG!$1:$1048576,AZ$2,MATCH(Substrates!$AY31,InputsBG!$38:$38,0))/$AX31,0)</f>
        <v>0</v>
      </c>
      <c r="BA31" s="661">
        <f>IF($G31&lt;0,$G31*INDEX(InputsBG!$1:$1048576,BA$2,MATCH(Substrates!$AY31,InputsBG!$38:$38,0))/$AX31,0)</f>
        <v>0</v>
      </c>
      <c r="BB31" s="661">
        <f>IF($G31&lt;0,$G31*INDEX(InputsBG!$1:$1048576,BB$2,MATCH(Substrates!$AY31,InputsBG!$38:$38,0))/$AX31,0)</f>
        <v>0</v>
      </c>
      <c r="BC31" s="661">
        <f>IF($G31&lt;0,$G31*INDEX(InputsBG!$1:$1048576,BC$2,MATCH(Substrates!$AY31,InputsBG!$38:$38,0))/$AX31,0)</f>
        <v>0</v>
      </c>
      <c r="BD31" s="662">
        <f t="shared" si="47"/>
        <v>0</v>
      </c>
      <c r="BE31" s="645" t="e">
        <f t="shared" si="11"/>
        <v>#DIV/0!</v>
      </c>
      <c r="BF31" s="645" t="e">
        <f t="shared" si="12"/>
        <v>#DIV/0!</v>
      </c>
      <c r="BG31" s="663"/>
      <c r="BH31" s="584"/>
      <c r="BI31" s="584"/>
      <c r="BJ31" s="584"/>
      <c r="BK31" s="584"/>
      <c r="BL31" s="584"/>
      <c r="BM31" s="584"/>
      <c r="BN31" s="584"/>
      <c r="BO31" s="584"/>
      <c r="BP31" s="584"/>
      <c r="BQ31" s="584"/>
      <c r="BR31" s="584"/>
      <c r="BS31" s="584"/>
      <c r="BT31" s="584" t="str">
        <f t="shared" si="48"/>
        <v>meat mixed, IP, at slaughterhouse</v>
      </c>
      <c r="BU31" s="584"/>
    </row>
    <row r="32" spans="1:73" s="878" customFormat="1">
      <c r="A32" s="932" t="s">
        <v>380</v>
      </c>
      <c r="B32" s="673" t="s">
        <v>431</v>
      </c>
      <c r="C32" s="201" t="s">
        <v>1528</v>
      </c>
      <c r="D32" s="625"/>
      <c r="E32" s="819" t="str">
        <f t="shared" si="1"/>
        <v>Mushroom substrate, edible mushroom substrate</v>
      </c>
      <c r="F32" s="795">
        <v>0</v>
      </c>
      <c r="G32" s="797">
        <v>0</v>
      </c>
      <c r="H32" s="906">
        <v>0</v>
      </c>
      <c r="I32" s="906">
        <v>0</v>
      </c>
      <c r="K32" s="898"/>
      <c r="L32" s="885">
        <f t="shared" si="36"/>
        <v>0</v>
      </c>
      <c r="M32" s="899">
        <f t="shared" si="37"/>
        <v>0</v>
      </c>
      <c r="N32" s="899"/>
      <c r="O32" s="899"/>
      <c r="P32" s="899"/>
      <c r="Q32" s="899"/>
      <c r="R32" s="897" t="str">
        <f>IF(F32&gt;0,IF(G32/F32/1000&lt;AX32,INDEX(menuesBG!$1:$1048576,Warnung,sprache),""),"")</f>
        <v/>
      </c>
      <c r="S32" s="627">
        <v>25</v>
      </c>
      <c r="T32" s="628"/>
      <c r="U32" s="628"/>
      <c r="V32" s="629">
        <f t="shared" si="50"/>
        <v>73.900000000000006</v>
      </c>
      <c r="W32" s="668">
        <f t="shared" ref="W32:X34" si="52">W$138</f>
        <v>73.900000000000006</v>
      </c>
      <c r="X32" s="668">
        <f t="shared" si="52"/>
        <v>73.900000000000006</v>
      </c>
      <c r="Y32" s="656">
        <f t="shared" si="44"/>
        <v>2.9930555555555554</v>
      </c>
      <c r="Z32" s="668">
        <f t="shared" ref="Z32:AA34" si="53">Z$138</f>
        <v>2.3277777777777775</v>
      </c>
      <c r="AA32" s="668">
        <f t="shared" si="53"/>
        <v>3.6583333333333337</v>
      </c>
      <c r="AB32" s="654">
        <v>13</v>
      </c>
      <c r="AC32" s="631">
        <f t="shared" si="38"/>
        <v>1.8457175925925919</v>
      </c>
      <c r="AD32" s="666">
        <f t="shared" ref="AD32:AF34" si="54">AD$138</f>
        <v>0.61666666666666647</v>
      </c>
      <c r="AE32" s="667">
        <f t="shared" si="54"/>
        <v>45.65</v>
      </c>
      <c r="AF32" s="667">
        <f t="shared" si="54"/>
        <v>50.55</v>
      </c>
      <c r="AG32" s="629">
        <f t="shared" si="51"/>
        <v>492</v>
      </c>
      <c r="AH32" s="668">
        <f t="shared" ref="AH32:AI34" si="55">AH$138</f>
        <v>376</v>
      </c>
      <c r="AI32" s="668">
        <f t="shared" si="55"/>
        <v>608</v>
      </c>
      <c r="AJ32" s="627">
        <v>50</v>
      </c>
      <c r="AK32" s="630">
        <f t="shared" si="39"/>
        <v>246</v>
      </c>
      <c r="AL32" s="634">
        <f t="shared" si="46"/>
        <v>0</v>
      </c>
      <c r="AM32" s="659">
        <v>0</v>
      </c>
      <c r="AN32" s="659">
        <v>0</v>
      </c>
      <c r="AO32" s="659">
        <v>0</v>
      </c>
      <c r="AP32" s="638" t="e">
        <f t="shared" si="40"/>
        <v>#N/A</v>
      </c>
      <c r="AQ32" s="639" t="e">
        <f t="shared" si="41"/>
        <v>#N/A</v>
      </c>
      <c r="AR32" s="640" t="e">
        <f t="shared" si="42"/>
        <v>#N/A</v>
      </c>
      <c r="AS32" s="641" t="e">
        <f t="shared" si="43"/>
        <v>#DIV/0!</v>
      </c>
      <c r="AT32" s="642" t="e">
        <f>FaktorenBG!F$43*(1+FaktorenBG!F$56)*IF(Auswahl_Behandlung_fest&lt;5,$F32,0)</f>
        <v>#N/A</v>
      </c>
      <c r="AU32" s="642" t="e">
        <f>FaktorenBG!G$43*(1+FaktorenBG!G$56)*IF(Auswahl_Behandlung_fest&lt;5,$F32,0)</f>
        <v>#N/A</v>
      </c>
      <c r="AV32" s="642" t="e">
        <f>FaktorenBG!H$43*(1+FaktorenBG!H$56)*IF(Auswahl_Behandlung_fest&lt;5,$F32,0)</f>
        <v>#N/A</v>
      </c>
      <c r="AW32" s="643">
        <f t="shared" si="20"/>
        <v>0</v>
      </c>
      <c r="AX32" s="643" t="e">
        <f>INDEX(InputsBG!$1:$1048576,AX$2,MATCH(Substrates!$AY32,InputsBG!$38:$38,0))</f>
        <v>#N/A</v>
      </c>
      <c r="AY32" s="669" t="s">
        <v>893</v>
      </c>
      <c r="AZ32" s="661">
        <f>IF($G32&lt;0,$G32*INDEX(InputsBG!$1:$1048576,AZ$2,MATCH(Substrates!$AY32,InputsBG!$38:$38,0))/$AX32,0)</f>
        <v>0</v>
      </c>
      <c r="BA32" s="661">
        <f>IF($G32&lt;0,$G32*INDEX(InputsBG!$1:$1048576,BA$2,MATCH(Substrates!$AY32,InputsBG!$38:$38,0))/$AX32,0)</f>
        <v>0</v>
      </c>
      <c r="BB32" s="661">
        <f>IF($G32&lt;0,$G32*INDEX(InputsBG!$1:$1048576,BB$2,MATCH(Substrates!$AY32,InputsBG!$38:$38,0))/$AX32,0)</f>
        <v>0</v>
      </c>
      <c r="BC32" s="661">
        <f>IF($G32&lt;0,$G32*INDEX(InputsBG!$1:$1048576,BC$2,MATCH(Substrates!$AY32,InputsBG!$38:$38,0))/$AX32,0)</f>
        <v>0</v>
      </c>
      <c r="BD32" s="662">
        <f t="shared" si="47"/>
        <v>0</v>
      </c>
      <c r="BE32" s="645" t="e">
        <f t="shared" si="11"/>
        <v>#DIV/0!</v>
      </c>
      <c r="BF32" s="645" t="e">
        <f t="shared" si="12"/>
        <v>#DIV/0!</v>
      </c>
      <c r="BG32" s="663"/>
      <c r="BH32" s="584"/>
      <c r="BI32" s="584"/>
      <c r="BJ32" s="584"/>
      <c r="BK32" s="584"/>
      <c r="BL32" s="584"/>
      <c r="BM32" s="584"/>
      <c r="BN32" s="584"/>
      <c r="BO32" s="584"/>
      <c r="BP32" s="584"/>
      <c r="BQ32" s="584"/>
      <c r="BR32" s="584"/>
      <c r="BS32" s="584"/>
      <c r="BT32" s="584" t="e">
        <f t="shared" si="48"/>
        <v>#VALUE!</v>
      </c>
      <c r="BU32" s="584"/>
    </row>
    <row r="33" spans="1:73" s="878" customFormat="1">
      <c r="A33" s="673" t="s">
        <v>167</v>
      </c>
      <c r="B33" s="673" t="s">
        <v>432</v>
      </c>
      <c r="C33" s="201" t="s">
        <v>1529</v>
      </c>
      <c r="D33" s="625"/>
      <c r="E33" s="819" t="str">
        <f t="shared" si="1"/>
        <v>De-icing water</v>
      </c>
      <c r="F33" s="795">
        <v>0</v>
      </c>
      <c r="G33" s="797">
        <v>0</v>
      </c>
      <c r="H33" s="906">
        <v>0</v>
      </c>
      <c r="I33" s="906">
        <v>0</v>
      </c>
      <c r="K33" s="898"/>
      <c r="L33" s="885">
        <f t="shared" si="36"/>
        <v>0</v>
      </c>
      <c r="M33" s="899">
        <f t="shared" si="37"/>
        <v>0</v>
      </c>
      <c r="N33" s="899"/>
      <c r="O33" s="899"/>
      <c r="P33" s="899"/>
      <c r="Q33" s="899"/>
      <c r="R33" s="897" t="str">
        <f>IF(F33&gt;0,IF(G33/F33/1000&lt;AX33,INDEX(menuesBG!$1:$1048576,Warnung,sprache),""),"")</f>
        <v/>
      </c>
      <c r="S33" s="627">
        <v>1</v>
      </c>
      <c r="T33" s="628"/>
      <c r="U33" s="628"/>
      <c r="V33" s="627">
        <v>72</v>
      </c>
      <c r="W33" s="628"/>
      <c r="X33" s="628"/>
      <c r="Y33" s="670">
        <f t="shared" si="44"/>
        <v>0</v>
      </c>
      <c r="Z33" s="627">
        <v>0</v>
      </c>
      <c r="AA33" s="627">
        <v>0</v>
      </c>
      <c r="AB33" s="630">
        <v>0</v>
      </c>
      <c r="AC33" s="631">
        <f t="shared" si="38"/>
        <v>0</v>
      </c>
      <c r="AD33" s="666">
        <f t="shared" si="54"/>
        <v>0.61666666666666647</v>
      </c>
      <c r="AE33" s="667">
        <f t="shared" si="54"/>
        <v>45.65</v>
      </c>
      <c r="AF33" s="667">
        <f t="shared" si="54"/>
        <v>50.55</v>
      </c>
      <c r="AG33" s="629">
        <f t="shared" si="51"/>
        <v>492</v>
      </c>
      <c r="AH33" s="668">
        <f t="shared" si="55"/>
        <v>376</v>
      </c>
      <c r="AI33" s="668">
        <f t="shared" si="55"/>
        <v>608</v>
      </c>
      <c r="AJ33" s="627">
        <v>61</v>
      </c>
      <c r="AK33" s="630">
        <f t="shared" si="39"/>
        <v>300.12</v>
      </c>
      <c r="AL33" s="634">
        <f>L33*50%*28.62%*12.5%</f>
        <v>0</v>
      </c>
      <c r="AM33" s="659">
        <v>0</v>
      </c>
      <c r="AN33" s="659">
        <v>0</v>
      </c>
      <c r="AO33" s="659">
        <v>0</v>
      </c>
      <c r="AP33" s="638" t="e">
        <f t="shared" si="40"/>
        <v>#N/A</v>
      </c>
      <c r="AQ33" s="639" t="e">
        <f t="shared" si="41"/>
        <v>#N/A</v>
      </c>
      <c r="AR33" s="640" t="e">
        <f t="shared" si="42"/>
        <v>#N/A</v>
      </c>
      <c r="AS33" s="641" t="e">
        <f t="shared" si="43"/>
        <v>#DIV/0!</v>
      </c>
      <c r="AT33" s="642" t="e">
        <f>FaktorenBG!F$43*(1+FaktorenBG!F$56)*IF(Auswahl_Behandlung_fest&lt;5,$F33,0)</f>
        <v>#N/A</v>
      </c>
      <c r="AU33" s="642" t="e">
        <f>FaktorenBG!G$43*(1+FaktorenBG!G$56)*IF(Auswahl_Behandlung_fest&lt;5,$F33,0)</f>
        <v>#N/A</v>
      </c>
      <c r="AV33" s="642" t="e">
        <f>FaktorenBG!H$43*(1+FaktorenBG!H$56)*IF(Auswahl_Behandlung_fest&lt;5,$F33,0)</f>
        <v>#N/A</v>
      </c>
      <c r="AW33" s="643">
        <f t="shared" si="20"/>
        <v>0</v>
      </c>
      <c r="AX33" s="643" t="e">
        <f>INDEX(InputsBG!$1:$1048576,AX$2,MATCH(Substrates!$AY33,InputsBG!$38:$38,0))</f>
        <v>#N/A</v>
      </c>
      <c r="AY33" s="669" t="s">
        <v>893</v>
      </c>
      <c r="AZ33" s="661">
        <f>IF($G33&lt;0,$G33*INDEX(InputsBG!$1:$1048576,AZ$2,MATCH(Substrates!$AY33,InputsBG!$38:$38,0))/$AX33,0)</f>
        <v>0</v>
      </c>
      <c r="BA33" s="661">
        <f>IF($G33&lt;0,$G33*INDEX(InputsBG!$1:$1048576,BA$2,MATCH(Substrates!$AY33,InputsBG!$38:$38,0))/$AX33,0)</f>
        <v>0</v>
      </c>
      <c r="BB33" s="661">
        <f>IF($G33&lt;0,$G33*INDEX(InputsBG!$1:$1048576,BB$2,MATCH(Substrates!$AY33,InputsBG!$38:$38,0))/$AX33,0)</f>
        <v>0</v>
      </c>
      <c r="BC33" s="661">
        <f>IF($G33&lt;0,$G33*INDEX(InputsBG!$1:$1048576,BC$2,MATCH(Substrates!$AY33,InputsBG!$38:$38,0))/$AX33,0)</f>
        <v>0</v>
      </c>
      <c r="BD33" s="662">
        <f t="shared" si="47"/>
        <v>0</v>
      </c>
      <c r="BE33" s="645" t="e">
        <f t="shared" si="11"/>
        <v>#DIV/0!</v>
      </c>
      <c r="BF33" s="645" t="e">
        <f t="shared" si="12"/>
        <v>#DIV/0!</v>
      </c>
      <c r="BG33" s="663"/>
      <c r="BH33" s="584"/>
      <c r="BI33" s="584"/>
      <c r="BJ33" s="584"/>
      <c r="BK33" s="584"/>
      <c r="BL33" s="584"/>
      <c r="BM33" s="584"/>
      <c r="BN33" s="584"/>
      <c r="BO33" s="584"/>
      <c r="BP33" s="584"/>
      <c r="BQ33" s="584"/>
      <c r="BR33" s="584"/>
      <c r="BS33" s="584"/>
      <c r="BT33" s="584" t="e">
        <f t="shared" si="48"/>
        <v>#VALUE!</v>
      </c>
      <c r="BU33" s="584"/>
    </row>
    <row r="34" spans="1:73" s="878" customFormat="1">
      <c r="A34" s="933" t="s">
        <v>128</v>
      </c>
      <c r="B34" s="673" t="s">
        <v>433</v>
      </c>
      <c r="C34" s="201" t="s">
        <v>1530</v>
      </c>
      <c r="D34" s="625"/>
      <c r="E34" s="819" t="str">
        <f t="shared" si="1"/>
        <v>Faulty and test batches from the food industry (vegetable)</v>
      </c>
      <c r="F34" s="795">
        <v>0</v>
      </c>
      <c r="G34" s="797">
        <v>0</v>
      </c>
      <c r="H34" s="906">
        <v>0</v>
      </c>
      <c r="I34" s="906">
        <v>0</v>
      </c>
      <c r="K34" s="898"/>
      <c r="L34" s="885">
        <f t="shared" si="36"/>
        <v>0</v>
      </c>
      <c r="M34" s="899">
        <f t="shared" si="37"/>
        <v>0</v>
      </c>
      <c r="N34" s="899"/>
      <c r="O34" s="899"/>
      <c r="P34" s="899"/>
      <c r="Q34" s="899"/>
      <c r="R34" s="897" t="str">
        <f>IF(F34&gt;0,IF(G34/F34/1000&lt;AX34,INDEX(menuesBG!$1:$1048576,Warnung,sprache),""),"")</f>
        <v/>
      </c>
      <c r="S34" s="629">
        <f t="shared" si="49"/>
        <v>30.7</v>
      </c>
      <c r="T34" s="668">
        <f t="shared" ref="T34:U34" si="56">T$138</f>
        <v>30.7</v>
      </c>
      <c r="U34" s="668">
        <f t="shared" si="56"/>
        <v>30.7</v>
      </c>
      <c r="V34" s="629">
        <f t="shared" si="50"/>
        <v>73.900000000000006</v>
      </c>
      <c r="W34" s="668">
        <f t="shared" si="52"/>
        <v>73.900000000000006</v>
      </c>
      <c r="X34" s="668">
        <f t="shared" si="52"/>
        <v>73.900000000000006</v>
      </c>
      <c r="Y34" s="656">
        <f t="shared" si="44"/>
        <v>2.9930555555555554</v>
      </c>
      <c r="Z34" s="668">
        <f t="shared" si="53"/>
        <v>2.3277777777777775</v>
      </c>
      <c r="AA34" s="668">
        <f t="shared" si="53"/>
        <v>3.6583333333333337</v>
      </c>
      <c r="AB34" s="654">
        <v>13</v>
      </c>
      <c r="AC34" s="631">
        <f t="shared" si="38"/>
        <v>1.8457175925925919</v>
      </c>
      <c r="AD34" s="666">
        <f t="shared" si="54"/>
        <v>0.61666666666666647</v>
      </c>
      <c r="AE34" s="667">
        <f t="shared" si="54"/>
        <v>45.65</v>
      </c>
      <c r="AF34" s="667">
        <f t="shared" si="54"/>
        <v>50.55</v>
      </c>
      <c r="AG34" s="629">
        <f t="shared" si="51"/>
        <v>492</v>
      </c>
      <c r="AH34" s="668">
        <f t="shared" si="55"/>
        <v>376</v>
      </c>
      <c r="AI34" s="668">
        <f t="shared" si="55"/>
        <v>608</v>
      </c>
      <c r="AJ34" s="627">
        <v>60</v>
      </c>
      <c r="AK34" s="630">
        <f t="shared" si="39"/>
        <v>295.2</v>
      </c>
      <c r="AL34" s="634">
        <f t="shared" si="46"/>
        <v>0</v>
      </c>
      <c r="AM34" s="659">
        <v>0</v>
      </c>
      <c r="AN34" s="659">
        <v>0</v>
      </c>
      <c r="AO34" s="659">
        <v>0</v>
      </c>
      <c r="AP34" s="638" t="e">
        <f t="shared" si="40"/>
        <v>#N/A</v>
      </c>
      <c r="AQ34" s="639" t="e">
        <f t="shared" si="41"/>
        <v>#N/A</v>
      </c>
      <c r="AR34" s="640" t="e">
        <f t="shared" si="42"/>
        <v>#N/A</v>
      </c>
      <c r="AS34" s="641" t="e">
        <f t="shared" si="43"/>
        <v>#DIV/0!</v>
      </c>
      <c r="AT34" s="642" t="e">
        <f>FaktorenBG!F$43*(1+FaktorenBG!F$56)*IF(Auswahl_Behandlung_fest&lt;5,$F34,0)</f>
        <v>#N/A</v>
      </c>
      <c r="AU34" s="642" t="e">
        <f>FaktorenBG!G$43*(1+FaktorenBG!G$56)*IF(Auswahl_Behandlung_fest&lt;5,$F34,0)</f>
        <v>#N/A</v>
      </c>
      <c r="AV34" s="642" t="e">
        <f>FaktorenBG!H$43*(1+FaktorenBG!H$56)*IF(Auswahl_Behandlung_fest&lt;5,$F34,0)</f>
        <v>#N/A</v>
      </c>
      <c r="AW34" s="643">
        <f t="shared" si="20"/>
        <v>0</v>
      </c>
      <c r="AX34" s="643" t="e">
        <f>INDEX(InputsBG!$1:$1048576,AX$2,MATCH(Substrates!$AY34,InputsBG!$38:$38,0))</f>
        <v>#N/A</v>
      </c>
      <c r="AY34" s="660" t="s">
        <v>1763</v>
      </c>
      <c r="AZ34" s="661">
        <f>IF($G34&lt;0,$G34*INDEX(InputsBG!$1:$1048576,AZ$2,MATCH(Substrates!$AY34,InputsBG!$38:$38,0))/$AX34,0)</f>
        <v>0</v>
      </c>
      <c r="BA34" s="661">
        <f>IF($G34&lt;0,$G34*INDEX(InputsBG!$1:$1048576,BA$2,MATCH(Substrates!$AY34,InputsBG!$38:$38,0))/$AX34,0)</f>
        <v>0</v>
      </c>
      <c r="BB34" s="661">
        <f>IF($G34&lt;0,$G34*INDEX(InputsBG!$1:$1048576,BB$2,MATCH(Substrates!$AY34,InputsBG!$38:$38,0))/$AX34,0)</f>
        <v>0</v>
      </c>
      <c r="BC34" s="661">
        <f>IF($G34&lt;0,$G34*INDEX(InputsBG!$1:$1048576,BC$2,MATCH(Substrates!$AY34,InputsBG!$38:$38,0))/$AX34,0)</f>
        <v>0</v>
      </c>
      <c r="BD34" s="662">
        <f t="shared" si="47"/>
        <v>0</v>
      </c>
      <c r="BE34" s="645" t="e">
        <f t="shared" si="11"/>
        <v>#DIV/0!</v>
      </c>
      <c r="BF34" s="645" t="e">
        <f t="shared" si="12"/>
        <v>#DIV/0!</v>
      </c>
      <c r="BG34" s="663"/>
      <c r="BH34" s="584"/>
      <c r="BI34" s="584"/>
      <c r="BJ34" s="584"/>
      <c r="BK34" s="584"/>
      <c r="BL34" s="584"/>
      <c r="BM34" s="584"/>
      <c r="BN34" s="584"/>
      <c r="BO34" s="584"/>
      <c r="BP34" s="584"/>
      <c r="BQ34" s="584"/>
      <c r="BR34" s="584"/>
      <c r="BS34" s="584"/>
      <c r="BT34" s="584" t="str">
        <f t="shared" si="48"/>
        <v>vegetables mean, IP, at farm</v>
      </c>
      <c r="BU34" s="584"/>
    </row>
    <row r="35" spans="1:73" s="878" customFormat="1">
      <c r="A35" s="673" t="s">
        <v>108</v>
      </c>
      <c r="B35" s="673" t="s">
        <v>435</v>
      </c>
      <c r="C35" s="201" t="s">
        <v>1531</v>
      </c>
      <c r="D35" s="625"/>
      <c r="E35" s="819" t="str">
        <f t="shared" si="1"/>
        <v>Grease from grease separator</v>
      </c>
      <c r="F35" s="795">
        <v>0</v>
      </c>
      <c r="G35" s="797">
        <v>0</v>
      </c>
      <c r="H35" s="906">
        <v>0</v>
      </c>
      <c r="I35" s="906">
        <v>0</v>
      </c>
      <c r="K35" s="898"/>
      <c r="L35" s="885">
        <f t="shared" si="36"/>
        <v>0</v>
      </c>
      <c r="M35" s="899">
        <f t="shared" si="37"/>
        <v>0</v>
      </c>
      <c r="N35" s="899"/>
      <c r="O35" s="899"/>
      <c r="P35" s="899"/>
      <c r="Q35" s="899"/>
      <c r="R35" s="897" t="str">
        <f>IF(F35&gt;0,IF(G35/F35/1000&lt;AX35,INDEX(menuesBG!$1:$1048576,Warnung,sprache),""),"")</f>
        <v/>
      </c>
      <c r="S35" s="629">
        <f t="shared" si="49"/>
        <v>36</v>
      </c>
      <c r="T35" s="628">
        <v>2</v>
      </c>
      <c r="U35" s="628">
        <v>70</v>
      </c>
      <c r="V35" s="629">
        <f t="shared" si="50"/>
        <v>84</v>
      </c>
      <c r="W35" s="628">
        <v>75</v>
      </c>
      <c r="X35" s="628">
        <v>93</v>
      </c>
      <c r="Y35" s="656">
        <f>(Z35+AA35)/2</f>
        <v>1.85</v>
      </c>
      <c r="Z35" s="671">
        <v>0.1</v>
      </c>
      <c r="AA35" s="671">
        <v>3.6</v>
      </c>
      <c r="AB35" s="665">
        <f>AVERAGE(0.02,1.5)/AVERAGE(0.1,3.6)*100</f>
        <v>41.081081081081081</v>
      </c>
      <c r="AC35" s="631">
        <f t="shared" si="38"/>
        <v>0.46250000000000002</v>
      </c>
      <c r="AD35" s="657">
        <v>0.25</v>
      </c>
      <c r="AE35" s="633"/>
      <c r="AF35" s="633"/>
      <c r="AG35" s="627">
        <f>(AH35+AI35)/2</f>
        <v>1150</v>
      </c>
      <c r="AH35" s="627">
        <v>1000</v>
      </c>
      <c r="AI35" s="627">
        <v>1300</v>
      </c>
      <c r="AJ35" s="627">
        <v>68</v>
      </c>
      <c r="AK35" s="630">
        <f t="shared" si="39"/>
        <v>782</v>
      </c>
      <c r="AL35" s="634">
        <f t="shared" si="46"/>
        <v>0</v>
      </c>
      <c r="AM35" s="659">
        <v>0</v>
      </c>
      <c r="AN35" s="659">
        <v>0</v>
      </c>
      <c r="AO35" s="659">
        <v>0</v>
      </c>
      <c r="AP35" s="638" t="e">
        <f t="shared" si="40"/>
        <v>#N/A</v>
      </c>
      <c r="AQ35" s="639" t="e">
        <f t="shared" si="41"/>
        <v>#N/A</v>
      </c>
      <c r="AR35" s="640" t="e">
        <f t="shared" si="42"/>
        <v>#N/A</v>
      </c>
      <c r="AS35" s="641" t="e">
        <f t="shared" si="43"/>
        <v>#DIV/0!</v>
      </c>
      <c r="AT35" s="642" t="e">
        <f>FaktorenBG!F$43*(1+FaktorenBG!F$56)*IF(Auswahl_Behandlung_fest&lt;5,$F35,0)</f>
        <v>#N/A</v>
      </c>
      <c r="AU35" s="642" t="e">
        <f>FaktorenBG!G$43*(1+FaktorenBG!G$56)*IF(Auswahl_Behandlung_fest&lt;5,$F35,0)</f>
        <v>#N/A</v>
      </c>
      <c r="AV35" s="642" t="e">
        <f>FaktorenBG!H$43*(1+FaktorenBG!H$56)*IF(Auswahl_Behandlung_fest&lt;5,$F35,0)</f>
        <v>#N/A</v>
      </c>
      <c r="AW35" s="643">
        <f t="shared" si="20"/>
        <v>0</v>
      </c>
      <c r="AX35" s="643" t="e">
        <f>INDEX(InputsBG!$1:$1048576,AX$2,MATCH(Substrates!$AY35,InputsBG!$38:$38,0))</f>
        <v>#N/A</v>
      </c>
      <c r="AY35" s="626" t="s">
        <v>1943</v>
      </c>
      <c r="AZ35" s="661">
        <f>IF($G35&lt;0,$G35*INDEX(InputsBG!$1:$1048576,AZ$2,MATCH(Substrates!$AY35,InputsBG!$38:$38,0))/$AX35,0)</f>
        <v>0</v>
      </c>
      <c r="BA35" s="661">
        <f>IF($G35&lt;0,$G35*INDEX(InputsBG!$1:$1048576,BA$2,MATCH(Substrates!$AY35,InputsBG!$38:$38,0))/$AX35,0)</f>
        <v>0</v>
      </c>
      <c r="BB35" s="661">
        <f>IF($G35&lt;0,$G35*INDEX(InputsBG!$1:$1048576,BB$2,MATCH(Substrates!$AY35,InputsBG!$38:$38,0))/$AX35,0)</f>
        <v>0</v>
      </c>
      <c r="BC35" s="661">
        <f>IF($G35&lt;0,$G35*INDEX(InputsBG!$1:$1048576,BC$2,MATCH(Substrates!$AY35,InputsBG!$38:$38,0))/$AX35,0)</f>
        <v>0</v>
      </c>
      <c r="BD35" s="662">
        <f t="shared" si="47"/>
        <v>0</v>
      </c>
      <c r="BE35" s="645" t="e">
        <f t="shared" si="11"/>
        <v>#DIV/0!</v>
      </c>
      <c r="BF35" s="645" t="e">
        <f t="shared" si="12"/>
        <v>#DIV/0!</v>
      </c>
      <c r="BG35" s="663"/>
      <c r="BH35" s="584"/>
      <c r="BI35" s="584"/>
      <c r="BJ35" s="584"/>
      <c r="BK35" s="584"/>
      <c r="BL35" s="584"/>
      <c r="BM35" s="584"/>
      <c r="BN35" s="584"/>
      <c r="BO35" s="584"/>
      <c r="BP35" s="584"/>
      <c r="BQ35" s="584"/>
      <c r="BR35" s="584"/>
      <c r="BS35" s="584"/>
      <c r="BT35" s="584" t="str">
        <f t="shared" si="48"/>
        <v>Rape oil, at oil mill</v>
      </c>
      <c r="BU35" s="584"/>
    </row>
    <row r="36" spans="1:73" s="878" customFormat="1">
      <c r="A36" s="933" t="s">
        <v>129</v>
      </c>
      <c r="B36" s="673" t="s">
        <v>436</v>
      </c>
      <c r="C36" s="201" t="s">
        <v>1532</v>
      </c>
      <c r="D36" s="625"/>
      <c r="E36" s="819" t="str">
        <f t="shared" si="1"/>
        <v>Filter residues from food and luxury food production</v>
      </c>
      <c r="F36" s="795">
        <v>0</v>
      </c>
      <c r="G36" s="797">
        <v>0</v>
      </c>
      <c r="H36" s="906">
        <v>0</v>
      </c>
      <c r="I36" s="906">
        <v>0</v>
      </c>
      <c r="K36" s="898"/>
      <c r="L36" s="885">
        <f t="shared" si="36"/>
        <v>0</v>
      </c>
      <c r="M36" s="899">
        <f t="shared" si="37"/>
        <v>0</v>
      </c>
      <c r="N36" s="899"/>
      <c r="O36" s="899"/>
      <c r="P36" s="899"/>
      <c r="Q36" s="899"/>
      <c r="R36" s="897" t="str">
        <f>IF(F36&gt;0,IF(G36/F36/1000&lt;AX36,INDEX(menuesBG!$1:$1048576,Warnung,sprache),""),"")</f>
        <v/>
      </c>
      <c r="S36" s="627">
        <v>81.2</v>
      </c>
      <c r="T36" s="628"/>
      <c r="U36" s="628"/>
      <c r="V36" s="627">
        <v>37.5</v>
      </c>
      <c r="W36" s="628"/>
      <c r="X36" s="628"/>
      <c r="Y36" s="656">
        <f t="shared" si="44"/>
        <v>2.9930555555555554</v>
      </c>
      <c r="Z36" s="668">
        <f>Z$138</f>
        <v>2.3277777777777775</v>
      </c>
      <c r="AA36" s="668">
        <f>AA$138</f>
        <v>3.6583333333333337</v>
      </c>
      <c r="AB36" s="654">
        <v>13</v>
      </c>
      <c r="AC36" s="631">
        <f>AD36*Y36</f>
        <v>1.8457175925925919</v>
      </c>
      <c r="AD36" s="666">
        <f>AD$138</f>
        <v>0.61666666666666647</v>
      </c>
      <c r="AE36" s="667">
        <f>AE$138</f>
        <v>45.65</v>
      </c>
      <c r="AF36" s="667">
        <f>AF$138</f>
        <v>50.55</v>
      </c>
      <c r="AG36" s="629">
        <f>(AH36+AI36)/2</f>
        <v>492</v>
      </c>
      <c r="AH36" s="668">
        <f>AH$138</f>
        <v>376</v>
      </c>
      <c r="AI36" s="668">
        <f>AI$138</f>
        <v>608</v>
      </c>
      <c r="AJ36" s="627">
        <v>50</v>
      </c>
      <c r="AK36" s="630">
        <f t="shared" si="39"/>
        <v>246</v>
      </c>
      <c r="AL36" s="634">
        <f t="shared" si="46"/>
        <v>0</v>
      </c>
      <c r="AM36" s="659">
        <v>0</v>
      </c>
      <c r="AN36" s="659">
        <v>0</v>
      </c>
      <c r="AO36" s="659">
        <v>0</v>
      </c>
      <c r="AP36" s="638" t="e">
        <f t="shared" si="40"/>
        <v>#N/A</v>
      </c>
      <c r="AQ36" s="639" t="e">
        <f t="shared" si="41"/>
        <v>#N/A</v>
      </c>
      <c r="AR36" s="640" t="e">
        <f t="shared" si="42"/>
        <v>#N/A</v>
      </c>
      <c r="AS36" s="641" t="e">
        <f t="shared" si="43"/>
        <v>#DIV/0!</v>
      </c>
      <c r="AT36" s="642" t="e">
        <f>FaktorenBG!F$43*(1+FaktorenBG!F$56)*IF(Auswahl_Behandlung_fest&lt;5,$F36,0)</f>
        <v>#N/A</v>
      </c>
      <c r="AU36" s="642" t="e">
        <f>FaktorenBG!G$43*(1+FaktorenBG!G$56)*IF(Auswahl_Behandlung_fest&lt;5,$F36,0)</f>
        <v>#N/A</v>
      </c>
      <c r="AV36" s="642" t="e">
        <f>FaktorenBG!H$43*(1+FaktorenBG!H$56)*IF(Auswahl_Behandlung_fest&lt;5,$F36,0)</f>
        <v>#N/A</v>
      </c>
      <c r="AW36" s="643">
        <f t="shared" si="20"/>
        <v>0</v>
      </c>
      <c r="AX36" s="643" t="e">
        <f>INDEX(InputsBG!$1:$1048576,AX$2,MATCH(Substrates!$AY36,InputsBG!$38:$38,0))</f>
        <v>#N/A</v>
      </c>
      <c r="AY36" s="669" t="s">
        <v>893</v>
      </c>
      <c r="AZ36" s="661">
        <f>IF($G36&lt;0,$G36*INDEX(InputsBG!$1:$1048576,AZ$2,MATCH(Substrates!$AY36,InputsBG!$38:$38,0))/$AX36,0)</f>
        <v>0</v>
      </c>
      <c r="BA36" s="661">
        <f>IF($G36&lt;0,$G36*INDEX(InputsBG!$1:$1048576,BA$2,MATCH(Substrates!$AY36,InputsBG!$38:$38,0))/$AX36,0)</f>
        <v>0</v>
      </c>
      <c r="BB36" s="661">
        <f>IF($G36&lt;0,$G36*INDEX(InputsBG!$1:$1048576,BB$2,MATCH(Substrates!$AY36,InputsBG!$38:$38,0))/$AX36,0)</f>
        <v>0</v>
      </c>
      <c r="BC36" s="661">
        <f>IF($G36&lt;0,$G36*INDEX(InputsBG!$1:$1048576,BC$2,MATCH(Substrates!$AY36,InputsBG!$38:$38,0))/$AX36,0)</f>
        <v>0</v>
      </c>
      <c r="BD36" s="662">
        <f t="shared" si="47"/>
        <v>0</v>
      </c>
      <c r="BE36" s="645" t="e">
        <f t="shared" si="11"/>
        <v>#DIV/0!</v>
      </c>
      <c r="BF36" s="645" t="e">
        <f t="shared" si="12"/>
        <v>#DIV/0!</v>
      </c>
      <c r="BG36" s="663"/>
      <c r="BH36" s="584"/>
      <c r="BI36" s="584"/>
      <c r="BJ36" s="584"/>
      <c r="BK36" s="584"/>
      <c r="BL36" s="584"/>
      <c r="BM36" s="584"/>
      <c r="BN36" s="584"/>
      <c r="BO36" s="584"/>
      <c r="BP36" s="584"/>
      <c r="BQ36" s="584"/>
      <c r="BR36" s="584"/>
      <c r="BS36" s="584"/>
      <c r="BT36" s="584" t="e">
        <f t="shared" si="48"/>
        <v>#VALUE!</v>
      </c>
      <c r="BU36" s="584"/>
    </row>
    <row r="37" spans="1:73" s="878" customFormat="1">
      <c r="A37" s="933" t="s">
        <v>153</v>
      </c>
      <c r="B37" s="673" t="s">
        <v>437</v>
      </c>
      <c r="C37" s="201" t="s">
        <v>1624</v>
      </c>
      <c r="D37" s="625"/>
      <c r="E37" s="819" t="str">
        <f t="shared" si="1"/>
        <v>Flotation sludge (slaughterhouse)</v>
      </c>
      <c r="F37" s="795">
        <v>0</v>
      </c>
      <c r="G37" s="797">
        <v>0</v>
      </c>
      <c r="H37" s="906">
        <v>0</v>
      </c>
      <c r="I37" s="906">
        <v>0</v>
      </c>
      <c r="K37" s="898"/>
      <c r="L37" s="885">
        <f t="shared" si="36"/>
        <v>0</v>
      </c>
      <c r="M37" s="899">
        <f t="shared" si="37"/>
        <v>0</v>
      </c>
      <c r="N37" s="899"/>
      <c r="O37" s="899"/>
      <c r="P37" s="899"/>
      <c r="Q37" s="899"/>
      <c r="R37" s="897" t="str">
        <f>IF(F37&gt;0,IF(G37/F37/1000&lt;AX37,INDEX(menuesBG!$1:$1048576,Warnung,sprache),""),"")</f>
        <v/>
      </c>
      <c r="S37" s="629">
        <f t="shared" si="49"/>
        <v>14.5</v>
      </c>
      <c r="T37" s="628">
        <v>5</v>
      </c>
      <c r="U37" s="628">
        <v>24</v>
      </c>
      <c r="V37" s="629">
        <f t="shared" si="50"/>
        <v>91.5</v>
      </c>
      <c r="W37" s="628">
        <v>85</v>
      </c>
      <c r="X37" s="628">
        <v>98</v>
      </c>
      <c r="Y37" s="656">
        <f t="shared" si="44"/>
        <v>6</v>
      </c>
      <c r="Z37" s="671">
        <v>3.2</v>
      </c>
      <c r="AA37" s="671">
        <v>8.8000000000000007</v>
      </c>
      <c r="AB37" s="665">
        <f>AVERAGE(0.01,0.06)/AVERAGE(3.2,8.9)*100</f>
        <v>0.57851239669421473</v>
      </c>
      <c r="AC37" s="631">
        <f t="shared" si="38"/>
        <v>3.9000000000000004</v>
      </c>
      <c r="AD37" s="657">
        <v>0.65</v>
      </c>
      <c r="AE37" s="633"/>
      <c r="AF37" s="633"/>
      <c r="AG37" s="629">
        <f t="shared" si="51"/>
        <v>1025</v>
      </c>
      <c r="AH37" s="658">
        <v>700</v>
      </c>
      <c r="AI37" s="627">
        <v>1350</v>
      </c>
      <c r="AJ37" s="627">
        <v>59</v>
      </c>
      <c r="AK37" s="630">
        <f t="shared" si="39"/>
        <v>604.75</v>
      </c>
      <c r="AL37" s="634">
        <f t="shared" si="46"/>
        <v>0</v>
      </c>
      <c r="AM37" s="659">
        <v>0</v>
      </c>
      <c r="AN37" s="659">
        <v>0</v>
      </c>
      <c r="AO37" s="659">
        <v>0</v>
      </c>
      <c r="AP37" s="638" t="e">
        <f t="shared" si="40"/>
        <v>#N/A</v>
      </c>
      <c r="AQ37" s="639" t="e">
        <f t="shared" si="41"/>
        <v>#N/A</v>
      </c>
      <c r="AR37" s="640" t="e">
        <f t="shared" si="42"/>
        <v>#N/A</v>
      </c>
      <c r="AS37" s="641" t="e">
        <f t="shared" si="43"/>
        <v>#DIV/0!</v>
      </c>
      <c r="AT37" s="642" t="e">
        <f>FaktorenBG!F$43*(1+FaktorenBG!F$56)*IF(Auswahl_Behandlung_fest&lt;5,$F37,0)</f>
        <v>#N/A</v>
      </c>
      <c r="AU37" s="642" t="e">
        <f>FaktorenBG!G$43*(1+FaktorenBG!G$56)*IF(Auswahl_Behandlung_fest&lt;5,$F37,0)</f>
        <v>#N/A</v>
      </c>
      <c r="AV37" s="642" t="e">
        <f>FaktorenBG!H$43*(1+FaktorenBG!H$56)*IF(Auswahl_Behandlung_fest&lt;5,$F37,0)</f>
        <v>#N/A</v>
      </c>
      <c r="AW37" s="643">
        <f t="shared" si="20"/>
        <v>0</v>
      </c>
      <c r="AX37" s="643" t="e">
        <f>INDEX(InputsBG!$1:$1048576,AX$2,MATCH(Substrates!$AY37,InputsBG!$38:$38,0))</f>
        <v>#N/A</v>
      </c>
      <c r="AY37" s="660" t="s">
        <v>1762</v>
      </c>
      <c r="AZ37" s="661">
        <f>IF($G37&lt;0,$G37*INDEX(InputsBG!$1:$1048576,AZ$2,MATCH(Substrates!$AY37,InputsBG!$38:$38,0))/$AX37,0)</f>
        <v>0</v>
      </c>
      <c r="BA37" s="661">
        <f>IF($G37&lt;0,$G37*INDEX(InputsBG!$1:$1048576,BA$2,MATCH(Substrates!$AY37,InputsBG!$38:$38,0))/$AX37,0)</f>
        <v>0</v>
      </c>
      <c r="BB37" s="661">
        <f>IF($G37&lt;0,$G37*INDEX(InputsBG!$1:$1048576,BB$2,MATCH(Substrates!$AY37,InputsBG!$38:$38,0))/$AX37,0)</f>
        <v>0</v>
      </c>
      <c r="BC37" s="661">
        <f>IF($G37&lt;0,$G37*INDEX(InputsBG!$1:$1048576,BC$2,MATCH(Substrates!$AY37,InputsBG!$38:$38,0))/$AX37,0)</f>
        <v>0</v>
      </c>
      <c r="BD37" s="662">
        <f t="shared" si="47"/>
        <v>0</v>
      </c>
      <c r="BE37" s="645" t="e">
        <f t="shared" si="11"/>
        <v>#DIV/0!</v>
      </c>
      <c r="BF37" s="645" t="e">
        <f t="shared" si="12"/>
        <v>#DIV/0!</v>
      </c>
      <c r="BG37" s="663"/>
      <c r="BH37" s="584"/>
      <c r="BI37" s="584"/>
      <c r="BJ37" s="584"/>
      <c r="BK37" s="584"/>
      <c r="BL37" s="584"/>
      <c r="BM37" s="584"/>
      <c r="BN37" s="584"/>
      <c r="BO37" s="584"/>
      <c r="BP37" s="584"/>
      <c r="BQ37" s="584"/>
      <c r="BR37" s="584"/>
      <c r="BS37" s="584"/>
      <c r="BT37" s="584" t="str">
        <f t="shared" si="48"/>
        <v>meat mixed, IP, at slaughterhouse</v>
      </c>
      <c r="BU37" s="584"/>
    </row>
    <row r="38" spans="1:73" s="878" customFormat="1">
      <c r="A38" s="933" t="s">
        <v>131</v>
      </c>
      <c r="B38" s="673" t="s">
        <v>760</v>
      </c>
      <c r="C38" s="201" t="s">
        <v>1533</v>
      </c>
      <c r="D38" s="625"/>
      <c r="E38" s="819" t="str">
        <f t="shared" si="1"/>
        <v>Fruit waste (oranges, lemons, bananas, pineapples, etc.)</v>
      </c>
      <c r="F38" s="795">
        <v>0</v>
      </c>
      <c r="G38" s="797">
        <v>0</v>
      </c>
      <c r="H38" s="906">
        <v>0</v>
      </c>
      <c r="I38" s="906">
        <v>0</v>
      </c>
      <c r="K38" s="898"/>
      <c r="L38" s="885">
        <f t="shared" si="36"/>
        <v>0</v>
      </c>
      <c r="M38" s="899">
        <f t="shared" si="37"/>
        <v>0</v>
      </c>
      <c r="N38" s="899"/>
      <c r="O38" s="899"/>
      <c r="P38" s="899"/>
      <c r="Q38" s="899"/>
      <c r="R38" s="897" t="str">
        <f>IF(F38&gt;0,IF(G38/F38/1000&lt;AX38,INDEX(menuesBG!$1:$1048576,Warnung,sprache),""),"")</f>
        <v/>
      </c>
      <c r="S38" s="629">
        <f t="shared" si="49"/>
        <v>37.5</v>
      </c>
      <c r="T38" s="628">
        <v>25</v>
      </c>
      <c r="U38" s="628">
        <v>50</v>
      </c>
      <c r="V38" s="629">
        <f t="shared" si="50"/>
        <v>90</v>
      </c>
      <c r="W38" s="628">
        <v>85</v>
      </c>
      <c r="X38" s="628">
        <v>95</v>
      </c>
      <c r="Y38" s="656">
        <f t="shared" si="44"/>
        <v>1.1000000000000001</v>
      </c>
      <c r="Z38" s="628">
        <v>1</v>
      </c>
      <c r="AA38" s="628">
        <v>1.2</v>
      </c>
      <c r="AB38" s="665">
        <f>AVERAGE(0.05,0.2)/AVERAGE(0.5,2.7)*100</f>
        <v>7.8125</v>
      </c>
      <c r="AC38" s="631">
        <f t="shared" si="38"/>
        <v>0.66</v>
      </c>
      <c r="AD38" s="657">
        <v>0.6</v>
      </c>
      <c r="AE38" s="633"/>
      <c r="AF38" s="633"/>
      <c r="AG38" s="629">
        <f t="shared" si="51"/>
        <v>555</v>
      </c>
      <c r="AH38" s="658">
        <v>450</v>
      </c>
      <c r="AI38" s="658">
        <v>660</v>
      </c>
      <c r="AJ38" s="627">
        <v>57</v>
      </c>
      <c r="AK38" s="630">
        <f t="shared" si="39"/>
        <v>316.35000000000002</v>
      </c>
      <c r="AL38" s="634">
        <f t="shared" si="46"/>
        <v>0</v>
      </c>
      <c r="AM38" s="659">
        <v>0</v>
      </c>
      <c r="AN38" s="659">
        <v>0</v>
      </c>
      <c r="AO38" s="659">
        <v>0</v>
      </c>
      <c r="AP38" s="638" t="e">
        <f t="shared" si="40"/>
        <v>#N/A</v>
      </c>
      <c r="AQ38" s="639" t="e">
        <f t="shared" si="41"/>
        <v>#N/A</v>
      </c>
      <c r="AR38" s="640" t="e">
        <f t="shared" si="42"/>
        <v>#N/A</v>
      </c>
      <c r="AS38" s="641" t="e">
        <f t="shared" si="43"/>
        <v>#DIV/0!</v>
      </c>
      <c r="AT38" s="642" t="e">
        <f>FaktorenBG!F$43*(1+FaktorenBG!F$56)*IF(Auswahl_Behandlung_fest&lt;5,$F38,0)</f>
        <v>#N/A</v>
      </c>
      <c r="AU38" s="642" t="e">
        <f>FaktorenBG!G$43*(1+FaktorenBG!G$56)*IF(Auswahl_Behandlung_fest&lt;5,$F38,0)</f>
        <v>#N/A</v>
      </c>
      <c r="AV38" s="642" t="e">
        <f>FaktorenBG!H$43*(1+FaktorenBG!H$56)*IF(Auswahl_Behandlung_fest&lt;5,$F38,0)</f>
        <v>#N/A</v>
      </c>
      <c r="AW38" s="643">
        <f t="shared" si="20"/>
        <v>0</v>
      </c>
      <c r="AX38" s="643" t="e">
        <f>INDEX(InputsBG!$1:$1048576,AX$2,MATCH(Substrates!$AY38,InputsBG!$38:$38,0))</f>
        <v>#N/A</v>
      </c>
      <c r="AY38" s="660" t="s">
        <v>1760</v>
      </c>
      <c r="AZ38" s="661">
        <f>IF($G38&lt;0,$G38*INDEX(InputsBG!$1:$1048576,AZ$2,MATCH(Substrates!$AY38,InputsBG!$38:$38,0))/$AX38,0)</f>
        <v>0</v>
      </c>
      <c r="BA38" s="661">
        <f>IF($G38&lt;0,$G38*INDEX(InputsBG!$1:$1048576,BA$2,MATCH(Substrates!$AY38,InputsBG!$38:$38,0))/$AX38,0)</f>
        <v>0</v>
      </c>
      <c r="BB38" s="661">
        <f>IF($G38&lt;0,$G38*INDEX(InputsBG!$1:$1048576,BB$2,MATCH(Substrates!$AY38,InputsBG!$38:$38,0))/$AX38,0)</f>
        <v>0</v>
      </c>
      <c r="BC38" s="661">
        <f>IF($G38&lt;0,$G38*INDEX(InputsBG!$1:$1048576,BC$2,MATCH(Substrates!$AY38,InputsBG!$38:$38,0))/$AX38,0)</f>
        <v>0</v>
      </c>
      <c r="BD38" s="662">
        <f t="shared" si="47"/>
        <v>0</v>
      </c>
      <c r="BE38" s="645" t="e">
        <f t="shared" si="11"/>
        <v>#DIV/0!</v>
      </c>
      <c r="BF38" s="645" t="e">
        <f t="shared" si="12"/>
        <v>#DIV/0!</v>
      </c>
      <c r="BG38" s="663"/>
      <c r="BH38" s="584"/>
      <c r="BI38" s="584"/>
      <c r="BJ38" s="584"/>
      <c r="BK38" s="584"/>
      <c r="BL38" s="584"/>
      <c r="BM38" s="584"/>
      <c r="BN38" s="584"/>
      <c r="BO38" s="584"/>
      <c r="BP38" s="584"/>
      <c r="BQ38" s="584"/>
      <c r="BR38" s="584"/>
      <c r="BS38" s="584"/>
      <c r="BT38" s="584" t="str">
        <f t="shared" si="48"/>
        <v>apple ÖLN, at farm</v>
      </c>
      <c r="BU38" s="584"/>
    </row>
    <row r="39" spans="1:73" s="878" customFormat="1">
      <c r="A39" s="933" t="s">
        <v>158</v>
      </c>
      <c r="B39" s="673" t="s">
        <v>438</v>
      </c>
      <c r="C39" s="201" t="s">
        <v>1534</v>
      </c>
      <c r="D39" s="625"/>
      <c r="E39" s="819" t="str">
        <f t="shared" ref="E39:E71" si="57">IF(sprache=1,A39,IF(sprache=2,B39,C39))</f>
        <v>Amniotic fluid, sugar water</v>
      </c>
      <c r="F39" s="795">
        <v>0</v>
      </c>
      <c r="G39" s="797">
        <v>0</v>
      </c>
      <c r="H39" s="906">
        <v>0</v>
      </c>
      <c r="I39" s="906">
        <v>0</v>
      </c>
      <c r="K39" s="898"/>
      <c r="L39" s="885">
        <f t="shared" si="36"/>
        <v>0</v>
      </c>
      <c r="M39" s="899">
        <f t="shared" si="37"/>
        <v>0</v>
      </c>
      <c r="N39" s="899"/>
      <c r="O39" s="899"/>
      <c r="P39" s="899"/>
      <c r="Q39" s="899"/>
      <c r="R39" s="897" t="str">
        <f>IF(F39&gt;0,IF(G39/F39/1000&lt;AX39,INDEX(menuesBG!$1:$1048576,Warnung,sprache),""),"")</f>
        <v/>
      </c>
      <c r="S39" s="627">
        <v>4.3</v>
      </c>
      <c r="T39" s="628"/>
      <c r="U39" s="628"/>
      <c r="V39" s="627">
        <v>72.5</v>
      </c>
      <c r="W39" s="628"/>
      <c r="X39" s="628"/>
      <c r="Y39" s="656">
        <f t="shared" si="44"/>
        <v>4.5</v>
      </c>
      <c r="Z39" s="664">
        <v>4</v>
      </c>
      <c r="AA39" s="664">
        <v>5</v>
      </c>
      <c r="AB39" s="665">
        <f>AVERAGE(0.8,1)/AVERAGE(4,5)*100</f>
        <v>20</v>
      </c>
      <c r="AC39" s="631">
        <f t="shared" si="38"/>
        <v>2.774999999999999</v>
      </c>
      <c r="AD39" s="666">
        <f t="shared" ref="AD39:AF40" si="58">AD$138</f>
        <v>0.61666666666666647</v>
      </c>
      <c r="AE39" s="667">
        <f t="shared" si="58"/>
        <v>45.65</v>
      </c>
      <c r="AF39" s="667">
        <f t="shared" si="58"/>
        <v>50.55</v>
      </c>
      <c r="AG39" s="629">
        <f t="shared" si="51"/>
        <v>492</v>
      </c>
      <c r="AH39" s="668">
        <f>AH$138</f>
        <v>376</v>
      </c>
      <c r="AI39" s="668">
        <f>AI$138</f>
        <v>608</v>
      </c>
      <c r="AJ39" s="627">
        <v>55</v>
      </c>
      <c r="AK39" s="630">
        <f t="shared" si="39"/>
        <v>270.60000000000002</v>
      </c>
      <c r="AL39" s="634">
        <f t="shared" si="46"/>
        <v>0</v>
      </c>
      <c r="AM39" s="659">
        <v>0</v>
      </c>
      <c r="AN39" s="659">
        <v>0</v>
      </c>
      <c r="AO39" s="659">
        <v>0</v>
      </c>
      <c r="AP39" s="638" t="e">
        <f t="shared" si="40"/>
        <v>#N/A</v>
      </c>
      <c r="AQ39" s="639" t="e">
        <f t="shared" si="41"/>
        <v>#N/A</v>
      </c>
      <c r="AR39" s="640" t="e">
        <f t="shared" si="42"/>
        <v>#N/A</v>
      </c>
      <c r="AS39" s="641" t="e">
        <f t="shared" si="43"/>
        <v>#DIV/0!</v>
      </c>
      <c r="AT39" s="642" t="e">
        <f>FaktorenBG!F$43*(1+FaktorenBG!F$56)*IF(Auswahl_Behandlung_fest&lt;5,$F39,0)</f>
        <v>#N/A</v>
      </c>
      <c r="AU39" s="642" t="e">
        <f>FaktorenBG!G$43*(1+FaktorenBG!G$56)*IF(Auswahl_Behandlung_fest&lt;5,$F39,0)</f>
        <v>#N/A</v>
      </c>
      <c r="AV39" s="642" t="e">
        <f>FaktorenBG!H$43*(1+FaktorenBG!H$56)*IF(Auswahl_Behandlung_fest&lt;5,$F39,0)</f>
        <v>#N/A</v>
      </c>
      <c r="AW39" s="643">
        <f t="shared" si="20"/>
        <v>0</v>
      </c>
      <c r="AX39" s="643" t="e">
        <f>INDEX(InputsBG!$1:$1048576,AX$2,MATCH(Substrates!$AY39,InputsBG!$38:$38,0))</f>
        <v>#N/A</v>
      </c>
      <c r="AY39" s="672" t="s">
        <v>1042</v>
      </c>
      <c r="AZ39" s="661">
        <f>IF($G39&lt;0,$G39*INDEX(InputsBG!$1:$1048576,AZ$2,MATCH(Substrates!$AY39,InputsBG!$38:$38,0))/$AX39,0)</f>
        <v>0</v>
      </c>
      <c r="BA39" s="661">
        <f>IF($G39&lt;0,$G39*INDEX(InputsBG!$1:$1048576,BA$2,MATCH(Substrates!$AY39,InputsBG!$38:$38,0))/$AX39,0)</f>
        <v>0</v>
      </c>
      <c r="BB39" s="661">
        <f>IF($G39&lt;0,$G39*INDEX(InputsBG!$1:$1048576,BB$2,MATCH(Substrates!$AY39,InputsBG!$38:$38,0))/$AX39,0)</f>
        <v>0</v>
      </c>
      <c r="BC39" s="661">
        <f>IF($G39&lt;0,$G39*INDEX(InputsBG!$1:$1048576,BC$2,MATCH(Substrates!$AY39,InputsBG!$38:$38,0))/$AX39,0)</f>
        <v>0</v>
      </c>
      <c r="BD39" s="662">
        <f t="shared" si="47"/>
        <v>0</v>
      </c>
      <c r="BE39" s="645" t="e">
        <f t="shared" si="11"/>
        <v>#DIV/0!</v>
      </c>
      <c r="BF39" s="645" t="e">
        <f t="shared" si="12"/>
        <v>#DIV/0!</v>
      </c>
      <c r="BG39" s="663"/>
      <c r="BH39" s="584"/>
      <c r="BI39" s="584"/>
      <c r="BJ39" s="584"/>
      <c r="BK39" s="584"/>
      <c r="BL39" s="584"/>
      <c r="BM39" s="584"/>
      <c r="BN39" s="584"/>
      <c r="BO39" s="584"/>
      <c r="BP39" s="584"/>
      <c r="BQ39" s="584"/>
      <c r="BR39" s="584"/>
      <c r="BS39" s="584"/>
      <c r="BT39" s="584" t="str">
        <f t="shared" si="48"/>
        <v>sugar beets IP, at farm</v>
      </c>
      <c r="BU39" s="584"/>
    </row>
    <row r="40" spans="1:73" s="878" customFormat="1">
      <c r="A40" s="933" t="s">
        <v>159</v>
      </c>
      <c r="B40" s="673" t="s">
        <v>439</v>
      </c>
      <c r="C40" s="201" t="s">
        <v>1535</v>
      </c>
      <c r="D40" s="625"/>
      <c r="E40" s="819" t="str">
        <f t="shared" si="57"/>
        <v>Fermentation material from the food industry</v>
      </c>
      <c r="F40" s="795">
        <v>0</v>
      </c>
      <c r="G40" s="797">
        <v>0</v>
      </c>
      <c r="H40" s="906">
        <v>0</v>
      </c>
      <c r="I40" s="906">
        <v>0</v>
      </c>
      <c r="K40" s="898"/>
      <c r="L40" s="885">
        <f t="shared" si="36"/>
        <v>0</v>
      </c>
      <c r="M40" s="899">
        <f t="shared" si="37"/>
        <v>0</v>
      </c>
      <c r="N40" s="899"/>
      <c r="O40" s="899"/>
      <c r="P40" s="899"/>
      <c r="Q40" s="899"/>
      <c r="R40" s="897" t="str">
        <f>IF(F40&gt;0,IF(G40/F40/1000&lt;AX40,INDEX(menuesBG!$1:$1048576,Warnung,sprache),""),"")</f>
        <v/>
      </c>
      <c r="S40" s="629">
        <f t="shared" si="49"/>
        <v>30.7</v>
      </c>
      <c r="T40" s="668">
        <f>T$138</f>
        <v>30.7</v>
      </c>
      <c r="U40" s="668">
        <f>U$138</f>
        <v>30.7</v>
      </c>
      <c r="V40" s="629">
        <f t="shared" si="50"/>
        <v>73.900000000000006</v>
      </c>
      <c r="W40" s="668">
        <f>W$138</f>
        <v>73.900000000000006</v>
      </c>
      <c r="X40" s="668">
        <f>X$138</f>
        <v>73.900000000000006</v>
      </c>
      <c r="Y40" s="656">
        <f t="shared" si="44"/>
        <v>2.8</v>
      </c>
      <c r="Z40" s="664">
        <v>0.6</v>
      </c>
      <c r="AA40" s="664">
        <v>5</v>
      </c>
      <c r="AB40" s="665">
        <f>AVERAGE(0.01,1.1)/AVERAGE(0.6,5)*100</f>
        <v>19.821428571428573</v>
      </c>
      <c r="AC40" s="631">
        <f t="shared" si="38"/>
        <v>1.7266666666666661</v>
      </c>
      <c r="AD40" s="666">
        <f t="shared" si="58"/>
        <v>0.61666666666666647</v>
      </c>
      <c r="AE40" s="667">
        <f t="shared" si="58"/>
        <v>45.65</v>
      </c>
      <c r="AF40" s="667">
        <f t="shared" si="58"/>
        <v>50.55</v>
      </c>
      <c r="AG40" s="629">
        <f t="shared" si="51"/>
        <v>492</v>
      </c>
      <c r="AH40" s="668">
        <f>AH$138</f>
        <v>376</v>
      </c>
      <c r="AI40" s="668">
        <f>AI$138</f>
        <v>608</v>
      </c>
      <c r="AJ40" s="627">
        <v>50</v>
      </c>
      <c r="AK40" s="630">
        <f t="shared" si="39"/>
        <v>246</v>
      </c>
      <c r="AL40" s="634">
        <f t="shared" si="46"/>
        <v>0</v>
      </c>
      <c r="AM40" s="659">
        <v>0</v>
      </c>
      <c r="AN40" s="659">
        <v>0</v>
      </c>
      <c r="AO40" s="659">
        <v>0</v>
      </c>
      <c r="AP40" s="638" t="e">
        <f t="shared" si="40"/>
        <v>#N/A</v>
      </c>
      <c r="AQ40" s="639" t="e">
        <f t="shared" si="41"/>
        <v>#N/A</v>
      </c>
      <c r="AR40" s="640" t="e">
        <f t="shared" si="42"/>
        <v>#N/A</v>
      </c>
      <c r="AS40" s="641" t="e">
        <f t="shared" si="43"/>
        <v>#DIV/0!</v>
      </c>
      <c r="AT40" s="642" t="e">
        <f>FaktorenBG!F$43*(1+FaktorenBG!F$56)*IF(Auswahl_Behandlung_fest&lt;5,$F40,0)</f>
        <v>#N/A</v>
      </c>
      <c r="AU40" s="642" t="e">
        <f>FaktorenBG!G$43*(1+FaktorenBG!G$56)*IF(Auswahl_Behandlung_fest&lt;5,$F40,0)</f>
        <v>#N/A</v>
      </c>
      <c r="AV40" s="642" t="e">
        <f>FaktorenBG!H$43*(1+FaktorenBG!H$56)*IF(Auswahl_Behandlung_fest&lt;5,$F40,0)</f>
        <v>#N/A</v>
      </c>
      <c r="AW40" s="643">
        <f t="shared" si="20"/>
        <v>0</v>
      </c>
      <c r="AX40" s="643" t="e">
        <f>INDEX(InputsBG!$1:$1048576,AX$2,MATCH(Substrates!$AY40,InputsBG!$38:$38,0))</f>
        <v>#N/A</v>
      </c>
      <c r="AY40" s="669" t="s">
        <v>893</v>
      </c>
      <c r="AZ40" s="661">
        <f>IF($G40&lt;0,$G40*INDEX(InputsBG!$1:$1048576,AZ$2,MATCH(Substrates!$AY40,InputsBG!$38:$38,0))/$AX40,0)</f>
        <v>0</v>
      </c>
      <c r="BA40" s="661">
        <f>IF($G40&lt;0,$G40*INDEX(InputsBG!$1:$1048576,BA$2,MATCH(Substrates!$AY40,InputsBG!$38:$38,0))/$AX40,0)</f>
        <v>0</v>
      </c>
      <c r="BB40" s="661">
        <f>IF($G40&lt;0,$G40*INDEX(InputsBG!$1:$1048576,BB$2,MATCH(Substrates!$AY40,InputsBG!$38:$38,0))/$AX40,0)</f>
        <v>0</v>
      </c>
      <c r="BC40" s="661">
        <f>IF($G40&lt;0,$G40*INDEX(InputsBG!$1:$1048576,BC$2,MATCH(Substrates!$AY40,InputsBG!$38:$38,0))/$AX40,0)</f>
        <v>0</v>
      </c>
      <c r="BD40" s="662">
        <f t="shared" si="47"/>
        <v>0</v>
      </c>
      <c r="BE40" s="645" t="e">
        <f t="shared" si="11"/>
        <v>#DIV/0!</v>
      </c>
      <c r="BF40" s="645" t="e">
        <f t="shared" si="12"/>
        <v>#DIV/0!</v>
      </c>
      <c r="BG40" s="663"/>
      <c r="BH40" s="584"/>
      <c r="BI40" s="584"/>
      <c r="BJ40" s="584"/>
      <c r="BK40" s="584"/>
      <c r="BL40" s="584"/>
      <c r="BM40" s="584"/>
      <c r="BN40" s="584"/>
      <c r="BO40" s="584"/>
      <c r="BP40" s="584"/>
      <c r="BQ40" s="584"/>
      <c r="BR40" s="584"/>
      <c r="BS40" s="584"/>
      <c r="BT40" s="584" t="e">
        <f t="shared" si="48"/>
        <v>#VALUE!</v>
      </c>
      <c r="BU40" s="584"/>
    </row>
    <row r="41" spans="1:73" s="878" customFormat="1">
      <c r="A41" s="673" t="s">
        <v>1641</v>
      </c>
      <c r="B41" s="673" t="s">
        <v>1643</v>
      </c>
      <c r="C41" s="201" t="s">
        <v>1642</v>
      </c>
      <c r="D41" s="625"/>
      <c r="E41" s="819" t="str">
        <f t="shared" si="57"/>
        <v>Green waste</v>
      </c>
      <c r="F41" s="795">
        <v>0</v>
      </c>
      <c r="G41" s="797">
        <v>0</v>
      </c>
      <c r="H41" s="906">
        <v>0</v>
      </c>
      <c r="I41" s="906">
        <v>0</v>
      </c>
      <c r="K41" s="898"/>
      <c r="L41" s="885">
        <f t="shared" si="36"/>
        <v>0</v>
      </c>
      <c r="M41" s="899">
        <f t="shared" si="37"/>
        <v>0</v>
      </c>
      <c r="N41" s="899"/>
      <c r="O41" s="899"/>
      <c r="P41" s="899"/>
      <c r="Q41" s="899"/>
      <c r="R41" s="897" t="str">
        <f>IF(F41&gt;0,IF(G41/F41/1000&lt;AX41,INDEX(menuesBG!$1:$1048576,Warnung,sprache),""),"")</f>
        <v/>
      </c>
      <c r="S41" s="629">
        <f t="shared" si="49"/>
        <v>35.5</v>
      </c>
      <c r="T41" s="675">
        <v>33</v>
      </c>
      <c r="U41" s="675">
        <v>38</v>
      </c>
      <c r="V41" s="629">
        <f t="shared" si="50"/>
        <v>85</v>
      </c>
      <c r="W41" s="628">
        <v>80</v>
      </c>
      <c r="X41" s="628">
        <v>90</v>
      </c>
      <c r="Y41" s="656">
        <f t="shared" si="44"/>
        <v>1.25</v>
      </c>
      <c r="Z41" s="628">
        <v>1</v>
      </c>
      <c r="AA41" s="628">
        <v>1.5</v>
      </c>
      <c r="AB41" s="654">
        <v>13</v>
      </c>
      <c r="AC41" s="631">
        <f t="shared" si="38"/>
        <v>0.625</v>
      </c>
      <c r="AD41" s="657">
        <v>0.5</v>
      </c>
      <c r="AE41" s="633"/>
      <c r="AF41" s="633"/>
      <c r="AG41" s="629">
        <f t="shared" si="51"/>
        <v>300</v>
      </c>
      <c r="AH41" s="658">
        <v>200</v>
      </c>
      <c r="AI41" s="658">
        <v>400</v>
      </c>
      <c r="AJ41" s="627">
        <v>50</v>
      </c>
      <c r="AK41" s="630">
        <f t="shared" si="39"/>
        <v>150</v>
      </c>
      <c r="AL41" s="634">
        <f t="shared" si="46"/>
        <v>0</v>
      </c>
      <c r="AM41" s="659">
        <v>0</v>
      </c>
      <c r="AN41" s="659">
        <v>0</v>
      </c>
      <c r="AO41" s="659">
        <v>0</v>
      </c>
      <c r="AP41" s="638" t="e">
        <f t="shared" si="40"/>
        <v>#N/A</v>
      </c>
      <c r="AQ41" s="639" t="e">
        <f t="shared" si="41"/>
        <v>#N/A</v>
      </c>
      <c r="AR41" s="640" t="e">
        <f t="shared" si="42"/>
        <v>#N/A</v>
      </c>
      <c r="AS41" s="641" t="e">
        <f t="shared" si="43"/>
        <v>#DIV/0!</v>
      </c>
      <c r="AT41" s="642" t="e">
        <f>FaktorenBG!F$43*(1+FaktorenBG!F$56)*IF(Auswahl_Behandlung_fest&lt;5,$F41,0)</f>
        <v>#N/A</v>
      </c>
      <c r="AU41" s="642" t="e">
        <f>FaktorenBG!G$43*(1+FaktorenBG!G$56)*IF(Auswahl_Behandlung_fest&lt;5,$F41,0)</f>
        <v>#N/A</v>
      </c>
      <c r="AV41" s="642" t="e">
        <f>FaktorenBG!H$43*(1+FaktorenBG!H$56)*IF(Auswahl_Behandlung_fest&lt;5,$F41,0)</f>
        <v>#N/A</v>
      </c>
      <c r="AW41" s="643">
        <f t="shared" si="20"/>
        <v>0</v>
      </c>
      <c r="AX41" s="643" t="e">
        <f>INDEX(InputsBG!$1:$1048576,AX$2,MATCH(Substrates!$AY41,InputsBG!$38:$38,0))</f>
        <v>#N/A</v>
      </c>
      <c r="AY41" s="669" t="s">
        <v>893</v>
      </c>
      <c r="AZ41" s="661">
        <f>IF($G41&lt;0,$G41*INDEX(InputsBG!$1:$1048576,AZ$2,MATCH(Substrates!$AY41,InputsBG!$38:$38,0))/$AX41,0)</f>
        <v>0</v>
      </c>
      <c r="BA41" s="661">
        <f>IF($G41&lt;0,$G41*INDEX(InputsBG!$1:$1048576,BA$2,MATCH(Substrates!$AY41,InputsBG!$38:$38,0))/$AX41,0)</f>
        <v>0</v>
      </c>
      <c r="BB41" s="661">
        <f>IF($G41&lt;0,$G41*INDEX(InputsBG!$1:$1048576,BB$2,MATCH(Substrates!$AY41,InputsBG!$38:$38,0))/$AX41,0)</f>
        <v>0</v>
      </c>
      <c r="BC41" s="661">
        <f>IF($G41&lt;0,$G41*INDEX(InputsBG!$1:$1048576,BC$2,MATCH(Substrates!$AY41,InputsBG!$38:$38,0))/$AX41,0)</f>
        <v>0</v>
      </c>
      <c r="BD41" s="662">
        <f t="shared" si="47"/>
        <v>0</v>
      </c>
      <c r="BE41" s="645" t="e">
        <f t="shared" ref="BE41:BE71" si="59">M41/Gasertrag_berechnet</f>
        <v>#DIV/0!</v>
      </c>
      <c r="BF41" s="645" t="e">
        <f t="shared" ref="BF41:BF71" si="60">AZ41/Belastung_Substrat</f>
        <v>#DIV/0!</v>
      </c>
      <c r="BG41" s="663"/>
      <c r="BH41" s="584"/>
      <c r="BI41" s="584"/>
      <c r="BJ41" s="584"/>
      <c r="BK41" s="584"/>
      <c r="BL41" s="584"/>
      <c r="BM41" s="584"/>
      <c r="BN41" s="584"/>
      <c r="BO41" s="584"/>
      <c r="BP41" s="584"/>
      <c r="BQ41" s="584"/>
      <c r="BR41" s="584"/>
      <c r="BS41" s="584"/>
      <c r="BT41" s="584" t="e">
        <f t="shared" si="48"/>
        <v>#VALUE!</v>
      </c>
      <c r="BU41" s="584"/>
    </row>
    <row r="42" spans="1:73" s="878" customFormat="1">
      <c r="A42" s="673" t="s">
        <v>107</v>
      </c>
      <c r="B42" s="673" t="s">
        <v>440</v>
      </c>
      <c r="C42" s="201" t="s">
        <v>1622</v>
      </c>
      <c r="D42" s="625"/>
      <c r="E42" s="819" t="str">
        <f t="shared" si="57"/>
        <v>Vegetables, food waste</v>
      </c>
      <c r="F42" s="795">
        <v>0</v>
      </c>
      <c r="G42" s="797">
        <v>0</v>
      </c>
      <c r="H42" s="906">
        <v>0</v>
      </c>
      <c r="I42" s="906">
        <v>0</v>
      </c>
      <c r="K42" s="898"/>
      <c r="L42" s="885">
        <f t="shared" si="36"/>
        <v>0</v>
      </c>
      <c r="M42" s="899">
        <f t="shared" si="37"/>
        <v>0</v>
      </c>
      <c r="N42" s="899"/>
      <c r="O42" s="899"/>
      <c r="P42" s="899"/>
      <c r="Q42" s="899"/>
      <c r="R42" s="897" t="str">
        <f>IF(F42&gt;0,IF(G42/F42/1000&lt;AX42,INDEX(menuesBG!$1:$1048576,Warnung,sprache),""),"")</f>
        <v/>
      </c>
      <c r="S42" s="629">
        <f t="shared" si="49"/>
        <v>12.5</v>
      </c>
      <c r="T42" s="628">
        <v>5</v>
      </c>
      <c r="U42" s="628">
        <v>20</v>
      </c>
      <c r="V42" s="629">
        <f t="shared" si="50"/>
        <v>83</v>
      </c>
      <c r="W42" s="628">
        <v>76</v>
      </c>
      <c r="X42" s="628">
        <v>90</v>
      </c>
      <c r="Y42" s="656">
        <f t="shared" si="44"/>
        <v>4</v>
      </c>
      <c r="Z42" s="671">
        <v>3</v>
      </c>
      <c r="AA42" s="671">
        <v>5</v>
      </c>
      <c r="AB42" s="665">
        <f>AVERAGE(0.01,1.1)/AVERAGE(0.6,5)*100</f>
        <v>19.821428571428573</v>
      </c>
      <c r="AC42" s="631">
        <f t="shared" si="38"/>
        <v>2.6</v>
      </c>
      <c r="AD42" s="657">
        <v>0.65</v>
      </c>
      <c r="AE42" s="633"/>
      <c r="AF42" s="633"/>
      <c r="AG42" s="629">
        <f t="shared" si="51"/>
        <v>500</v>
      </c>
      <c r="AH42" s="658">
        <v>400</v>
      </c>
      <c r="AI42" s="658">
        <v>600</v>
      </c>
      <c r="AJ42" s="627">
        <v>52</v>
      </c>
      <c r="AK42" s="630">
        <f t="shared" si="39"/>
        <v>260</v>
      </c>
      <c r="AL42" s="634">
        <f t="shared" si="46"/>
        <v>0</v>
      </c>
      <c r="AM42" s="659">
        <v>0</v>
      </c>
      <c r="AN42" s="659">
        <v>0</v>
      </c>
      <c r="AO42" s="659">
        <v>0</v>
      </c>
      <c r="AP42" s="638" t="e">
        <f t="shared" si="40"/>
        <v>#N/A</v>
      </c>
      <c r="AQ42" s="639" t="e">
        <f t="shared" si="41"/>
        <v>#N/A</v>
      </c>
      <c r="AR42" s="640" t="e">
        <f t="shared" si="42"/>
        <v>#N/A</v>
      </c>
      <c r="AS42" s="641" t="e">
        <f t="shared" si="43"/>
        <v>#DIV/0!</v>
      </c>
      <c r="AT42" s="642" t="e">
        <f>FaktorenBG!F$43*(1+FaktorenBG!F$56)*IF(Auswahl_Behandlung_fest&lt;5,$F42,0)</f>
        <v>#N/A</v>
      </c>
      <c r="AU42" s="642" t="e">
        <f>FaktorenBG!G$43*(1+FaktorenBG!G$56)*IF(Auswahl_Behandlung_fest&lt;5,$F42,0)</f>
        <v>#N/A</v>
      </c>
      <c r="AV42" s="642" t="e">
        <f>FaktorenBG!H$43*(1+FaktorenBG!H$56)*IF(Auswahl_Behandlung_fest&lt;5,$F42,0)</f>
        <v>#N/A</v>
      </c>
      <c r="AW42" s="643">
        <f t="shared" si="20"/>
        <v>0</v>
      </c>
      <c r="AX42" s="643" t="e">
        <f>INDEX(InputsBG!$1:$1048576,AX$2,MATCH(Substrates!$AY42,InputsBG!$38:$38,0))</f>
        <v>#N/A</v>
      </c>
      <c r="AY42" s="660" t="s">
        <v>1763</v>
      </c>
      <c r="AZ42" s="661">
        <f>IF($G42&lt;0,$G42*INDEX(InputsBG!$1:$1048576,AZ$2,MATCH(Substrates!$AY42,InputsBG!$38:$38,0))/$AX42,0)</f>
        <v>0</v>
      </c>
      <c r="BA42" s="661">
        <f>IF($G42&lt;0,$G42*INDEX(InputsBG!$1:$1048576,BA$2,MATCH(Substrates!$AY42,InputsBG!$38:$38,0))/$AX42,0)</f>
        <v>0</v>
      </c>
      <c r="BB42" s="661">
        <f>IF($G42&lt;0,$G42*INDEX(InputsBG!$1:$1048576,BB$2,MATCH(Substrates!$AY42,InputsBG!$38:$38,0))/$AX42,0)</f>
        <v>0</v>
      </c>
      <c r="BC42" s="661">
        <f>IF($G42&lt;0,$G42*INDEX(InputsBG!$1:$1048576,BC$2,MATCH(Substrates!$AY42,InputsBG!$38:$38,0))/$AX42,0)</f>
        <v>0</v>
      </c>
      <c r="BD42" s="662">
        <f t="shared" si="47"/>
        <v>0</v>
      </c>
      <c r="BE42" s="645" t="e">
        <f t="shared" si="59"/>
        <v>#DIV/0!</v>
      </c>
      <c r="BF42" s="645" t="e">
        <f t="shared" si="60"/>
        <v>#DIV/0!</v>
      </c>
      <c r="BG42" s="663"/>
      <c r="BH42" s="584"/>
      <c r="BI42" s="584"/>
      <c r="BJ42" s="584"/>
      <c r="BK42" s="584"/>
      <c r="BL42" s="584"/>
      <c r="BM42" s="584"/>
      <c r="BN42" s="584"/>
      <c r="BO42" s="584"/>
      <c r="BP42" s="584"/>
      <c r="BQ42" s="584"/>
      <c r="BR42" s="584"/>
      <c r="BS42" s="584"/>
      <c r="BT42" s="584" t="str">
        <f t="shared" si="48"/>
        <v>vegetables mean, IP, at farm</v>
      </c>
      <c r="BU42" s="584"/>
    </row>
    <row r="43" spans="1:73" s="878" customFormat="1">
      <c r="A43" s="933" t="s">
        <v>132</v>
      </c>
      <c r="B43" s="673" t="s">
        <v>441</v>
      </c>
      <c r="C43" s="201" t="s">
        <v>1536</v>
      </c>
      <c r="D43" s="625"/>
      <c r="E43" s="819" t="str">
        <f t="shared" si="57"/>
        <v>Glucose, sugar water, fruit juices</v>
      </c>
      <c r="F43" s="795">
        <v>0</v>
      </c>
      <c r="G43" s="797">
        <v>0</v>
      </c>
      <c r="H43" s="906">
        <v>0</v>
      </c>
      <c r="I43" s="906">
        <v>0</v>
      </c>
      <c r="K43" s="898"/>
      <c r="L43" s="885">
        <f t="shared" si="36"/>
        <v>0</v>
      </c>
      <c r="M43" s="899">
        <f t="shared" si="37"/>
        <v>0</v>
      </c>
      <c r="N43" s="899"/>
      <c r="O43" s="899"/>
      <c r="P43" s="899"/>
      <c r="Q43" s="899"/>
      <c r="R43" s="897" t="str">
        <f>IF(F43&gt;0,IF(G43/F43/1000&lt;AX43,INDEX(menuesBG!$1:$1048576,Warnung,sprache),""),"")</f>
        <v/>
      </c>
      <c r="S43" s="627">
        <v>4.3</v>
      </c>
      <c r="T43" s="628"/>
      <c r="U43" s="628"/>
      <c r="V43" s="627">
        <v>72.5</v>
      </c>
      <c r="W43" s="628"/>
      <c r="X43" s="628"/>
      <c r="Y43" s="656">
        <f t="shared" si="44"/>
        <v>2.9930555555555554</v>
      </c>
      <c r="Z43" s="668">
        <f>Z$138</f>
        <v>2.3277777777777775</v>
      </c>
      <c r="AA43" s="668">
        <f>AA$138</f>
        <v>3.6583333333333337</v>
      </c>
      <c r="AB43" s="654">
        <v>13</v>
      </c>
      <c r="AC43" s="631">
        <f>AD43*Y43</f>
        <v>1.8457175925925919</v>
      </c>
      <c r="AD43" s="666">
        <f>AD$138</f>
        <v>0.61666666666666647</v>
      </c>
      <c r="AE43" s="667">
        <f>AE$138</f>
        <v>45.65</v>
      </c>
      <c r="AF43" s="667">
        <f>AF$138</f>
        <v>50.55</v>
      </c>
      <c r="AG43" s="629">
        <f>(AH43+AI43)/2</f>
        <v>492</v>
      </c>
      <c r="AH43" s="668">
        <f>AH$138</f>
        <v>376</v>
      </c>
      <c r="AI43" s="668">
        <f>AI$138</f>
        <v>608</v>
      </c>
      <c r="AJ43" s="627">
        <v>50</v>
      </c>
      <c r="AK43" s="630">
        <f t="shared" si="39"/>
        <v>246</v>
      </c>
      <c r="AL43" s="634">
        <f t="shared" si="46"/>
        <v>0</v>
      </c>
      <c r="AM43" s="659">
        <v>0</v>
      </c>
      <c r="AN43" s="659">
        <v>0</v>
      </c>
      <c r="AO43" s="659">
        <v>0</v>
      </c>
      <c r="AP43" s="638" t="e">
        <f t="shared" si="40"/>
        <v>#N/A</v>
      </c>
      <c r="AQ43" s="639" t="e">
        <f t="shared" si="41"/>
        <v>#N/A</v>
      </c>
      <c r="AR43" s="640" t="e">
        <f t="shared" si="42"/>
        <v>#N/A</v>
      </c>
      <c r="AS43" s="641" t="e">
        <f t="shared" si="43"/>
        <v>#DIV/0!</v>
      </c>
      <c r="AT43" s="642" t="e">
        <f>FaktorenBG!F$43*(1+FaktorenBG!F$56)*IF(Auswahl_Behandlung_fest&lt;5,$F43,0)</f>
        <v>#N/A</v>
      </c>
      <c r="AU43" s="642" t="e">
        <f>FaktorenBG!G$43*(1+FaktorenBG!G$56)*IF(Auswahl_Behandlung_fest&lt;5,$F43,0)</f>
        <v>#N/A</v>
      </c>
      <c r="AV43" s="642" t="e">
        <f>FaktorenBG!H$43*(1+FaktorenBG!H$56)*IF(Auswahl_Behandlung_fest&lt;5,$F43,0)</f>
        <v>#N/A</v>
      </c>
      <c r="AW43" s="643">
        <f t="shared" si="20"/>
        <v>0</v>
      </c>
      <c r="AX43" s="643" t="e">
        <f>INDEX(InputsBG!$1:$1048576,AX$2,MATCH(Substrates!$AY43,InputsBG!$38:$38,0))</f>
        <v>#N/A</v>
      </c>
      <c r="AY43" s="626" t="s">
        <v>748</v>
      </c>
      <c r="AZ43" s="661">
        <f>IF($G43&lt;0,$G43*INDEX(InputsBG!$1:$1048576,AZ$2,MATCH(Substrates!$AY43,InputsBG!$38:$38,0))/$AX43,0)</f>
        <v>0</v>
      </c>
      <c r="BA43" s="661">
        <f>IF($G43&lt;0,$G43*INDEX(InputsBG!$1:$1048576,BA$2,MATCH(Substrates!$AY43,InputsBG!$38:$38,0))/$AX43,0)</f>
        <v>0</v>
      </c>
      <c r="BB43" s="661">
        <f>IF($G43&lt;0,$G43*INDEX(InputsBG!$1:$1048576,BB$2,MATCH(Substrates!$AY43,InputsBG!$38:$38,0))/$AX43,0)</f>
        <v>0</v>
      </c>
      <c r="BC43" s="661">
        <f>IF($G43&lt;0,$G43*INDEX(InputsBG!$1:$1048576,BC$2,MATCH(Substrates!$AY43,InputsBG!$38:$38,0))/$AX43,0)</f>
        <v>0</v>
      </c>
      <c r="BD43" s="662">
        <f t="shared" si="47"/>
        <v>0</v>
      </c>
      <c r="BE43" s="645" t="e">
        <f t="shared" si="59"/>
        <v>#DIV/0!</v>
      </c>
      <c r="BF43" s="645" t="e">
        <f t="shared" si="60"/>
        <v>#DIV/0!</v>
      </c>
      <c r="BG43" s="663"/>
      <c r="BH43" s="584"/>
      <c r="BI43" s="584"/>
      <c r="BJ43" s="584"/>
      <c r="BK43" s="584"/>
      <c r="BL43" s="584"/>
      <c r="BM43" s="584"/>
      <c r="BN43" s="584"/>
      <c r="BO43" s="584"/>
      <c r="BP43" s="584"/>
      <c r="BQ43" s="584"/>
      <c r="BR43" s="584"/>
      <c r="BS43" s="584"/>
      <c r="BT43" s="584" t="str">
        <f t="shared" si="48"/>
        <v>Syrup, from sugar beet molasses, at distillery</v>
      </c>
      <c r="BU43" s="584"/>
    </row>
    <row r="44" spans="1:73" s="878" customFormat="1">
      <c r="A44" s="933" t="s">
        <v>91</v>
      </c>
      <c r="B44" s="673" t="s">
        <v>92</v>
      </c>
      <c r="C44" s="201" t="s">
        <v>1537</v>
      </c>
      <c r="D44" s="625"/>
      <c r="E44" s="819" t="str">
        <f t="shared" si="57"/>
        <v>Grass silage</v>
      </c>
      <c r="F44" s="795">
        <v>0</v>
      </c>
      <c r="G44" s="797">
        <v>0</v>
      </c>
      <c r="H44" s="906">
        <v>0</v>
      </c>
      <c r="I44" s="906">
        <v>0</v>
      </c>
      <c r="K44" s="898"/>
      <c r="L44" s="885">
        <f t="shared" si="36"/>
        <v>0</v>
      </c>
      <c r="M44" s="899">
        <f t="shared" si="37"/>
        <v>0</v>
      </c>
      <c r="N44" s="899"/>
      <c r="O44" s="899"/>
      <c r="P44" s="899"/>
      <c r="Q44" s="899"/>
      <c r="R44" s="897" t="str">
        <f>IF(F44&gt;0,IF(G44/F44/1000&lt;AX44,INDEX(menuesBG!$1:$1048576,Warnung,sprache),""),"")</f>
        <v/>
      </c>
      <c r="S44" s="629">
        <f t="shared" si="49"/>
        <v>42.5</v>
      </c>
      <c r="T44" s="628">
        <v>25</v>
      </c>
      <c r="U44" s="628">
        <v>60</v>
      </c>
      <c r="V44" s="629">
        <f t="shared" si="50"/>
        <v>82.5</v>
      </c>
      <c r="W44" s="628">
        <v>69</v>
      </c>
      <c r="X44" s="628">
        <v>96</v>
      </c>
      <c r="Y44" s="656">
        <f t="shared" si="44"/>
        <v>5.2</v>
      </c>
      <c r="Z44" s="671">
        <v>3.5</v>
      </c>
      <c r="AA44" s="671">
        <v>6.9</v>
      </c>
      <c r="AB44" s="665">
        <f>AVERAGE(3.5,6.9)/AVERAGE(6.9,19.8)*100</f>
        <v>38.951310861423217</v>
      </c>
      <c r="AC44" s="631">
        <f t="shared" si="38"/>
        <v>3.6399999999999997</v>
      </c>
      <c r="AD44" s="657">
        <v>0.7</v>
      </c>
      <c r="AE44" s="633">
        <v>6.9</v>
      </c>
      <c r="AF44" s="633">
        <v>19.8</v>
      </c>
      <c r="AG44" s="629">
        <f t="shared" si="51"/>
        <v>565</v>
      </c>
      <c r="AH44" s="658">
        <v>520</v>
      </c>
      <c r="AI44" s="658">
        <v>610</v>
      </c>
      <c r="AJ44" s="627">
        <v>54</v>
      </c>
      <c r="AK44" s="630">
        <f t="shared" si="39"/>
        <v>305.10000000000002</v>
      </c>
      <c r="AL44" s="634">
        <f t="shared" si="46"/>
        <v>0</v>
      </c>
      <c r="AM44" s="659">
        <v>0</v>
      </c>
      <c r="AN44" s="659">
        <v>0</v>
      </c>
      <c r="AO44" s="659">
        <v>0</v>
      </c>
      <c r="AP44" s="638" t="e">
        <f t="shared" si="40"/>
        <v>#N/A</v>
      </c>
      <c r="AQ44" s="639" t="e">
        <f t="shared" si="41"/>
        <v>#N/A</v>
      </c>
      <c r="AR44" s="640" t="e">
        <f t="shared" si="42"/>
        <v>#N/A</v>
      </c>
      <c r="AS44" s="641" t="e">
        <f t="shared" si="43"/>
        <v>#DIV/0!</v>
      </c>
      <c r="AT44" s="642" t="e">
        <f>FaktorenBG!F$43*(1+FaktorenBG!F$56)*IF(Auswahl_Behandlung_fest&lt;5,$F44,0)</f>
        <v>#N/A</v>
      </c>
      <c r="AU44" s="642" t="e">
        <f>FaktorenBG!G$43*(1+FaktorenBG!G$56)*IF(Auswahl_Behandlung_fest&lt;5,$F44,0)</f>
        <v>#N/A</v>
      </c>
      <c r="AV44" s="642" t="e">
        <f>FaktorenBG!H$43*(1+FaktorenBG!H$56)*IF(Auswahl_Behandlung_fest&lt;5,$F44,0)</f>
        <v>#N/A</v>
      </c>
      <c r="AW44" s="643">
        <f t="shared" si="20"/>
        <v>0</v>
      </c>
      <c r="AX44" s="643" t="e">
        <f>INDEX(InputsBG!$1:$1048576,AX$2,MATCH(Substrates!$AY44,InputsBG!$38:$38,0))</f>
        <v>#N/A</v>
      </c>
      <c r="AY44" s="626" t="s">
        <v>1046</v>
      </c>
      <c r="AZ44" s="661">
        <f>IF($G44&lt;0,$G44*INDEX(InputsBG!$1:$1048576,AZ$2,MATCH(Substrates!$AY44,InputsBG!$38:$38,0))/$AX44,0)</f>
        <v>0</v>
      </c>
      <c r="BA44" s="661">
        <f>IF($G44&lt;0,$G44*INDEX(InputsBG!$1:$1048576,BA$2,MATCH(Substrates!$AY44,InputsBG!$38:$38,0))/$AX44,0)</f>
        <v>0</v>
      </c>
      <c r="BB44" s="661">
        <f>IF($G44&lt;0,$G44*INDEX(InputsBG!$1:$1048576,BB$2,MATCH(Substrates!$AY44,InputsBG!$38:$38,0))/$AX44,0)</f>
        <v>0</v>
      </c>
      <c r="BC44" s="661">
        <f>IF($G44&lt;0,$G44*INDEX(InputsBG!$1:$1048576,BC$2,MATCH(Substrates!$AY44,InputsBG!$38:$38,0))/$AX44,0)</f>
        <v>0</v>
      </c>
      <c r="BD44" s="662">
        <f t="shared" si="47"/>
        <v>0</v>
      </c>
      <c r="BE44" s="645" t="e">
        <f t="shared" si="59"/>
        <v>#DIV/0!</v>
      </c>
      <c r="BF44" s="645" t="e">
        <f t="shared" si="60"/>
        <v>#DIV/0!</v>
      </c>
      <c r="BG44" s="663"/>
      <c r="BH44" s="584"/>
      <c r="BI44" s="584"/>
      <c r="BJ44" s="584"/>
      <c r="BK44" s="584"/>
      <c r="BL44" s="584"/>
      <c r="BM44" s="584"/>
      <c r="BN44" s="584"/>
      <c r="BO44" s="584"/>
      <c r="BP44" s="584"/>
      <c r="BQ44" s="584"/>
      <c r="BR44" s="584"/>
      <c r="BS44" s="584"/>
      <c r="BT44" s="584" t="str">
        <f t="shared" si="48"/>
        <v>Grass silage IP, at farm</v>
      </c>
      <c r="BU44" s="584"/>
    </row>
    <row r="45" spans="1:73" s="878" customFormat="1">
      <c r="A45" s="933" t="s">
        <v>154</v>
      </c>
      <c r="B45" s="673" t="s">
        <v>503</v>
      </c>
      <c r="C45" s="201" t="s">
        <v>1538</v>
      </c>
      <c r="D45" s="674"/>
      <c r="E45" s="819" t="str">
        <f t="shared" si="57"/>
        <v>Urine, hides, skins, bristles, feathers, hair (pure)</v>
      </c>
      <c r="F45" s="795">
        <v>0</v>
      </c>
      <c r="G45" s="797">
        <v>0</v>
      </c>
      <c r="H45" s="906">
        <v>0</v>
      </c>
      <c r="I45" s="906">
        <v>0</v>
      </c>
      <c r="K45" s="898"/>
      <c r="L45" s="885">
        <f t="shared" si="36"/>
        <v>0</v>
      </c>
      <c r="M45" s="899">
        <f t="shared" si="37"/>
        <v>0</v>
      </c>
      <c r="N45" s="899"/>
      <c r="O45" s="899"/>
      <c r="P45" s="899"/>
      <c r="Q45" s="899"/>
      <c r="R45" s="897" t="str">
        <f>IF(F45&gt;0,IF(G45/F45/1000&lt;AX45,INDEX(menuesBG!$1:$1048576,Warnung,sprache),""),"")</f>
        <v/>
      </c>
      <c r="S45" s="629">
        <f t="shared" si="49"/>
        <v>30.7</v>
      </c>
      <c r="T45" s="668">
        <f>T$138</f>
        <v>30.7</v>
      </c>
      <c r="U45" s="668">
        <f>U$138</f>
        <v>30.7</v>
      </c>
      <c r="V45" s="629">
        <f t="shared" si="50"/>
        <v>73.900000000000006</v>
      </c>
      <c r="W45" s="668">
        <f>W$138</f>
        <v>73.900000000000006</v>
      </c>
      <c r="X45" s="668">
        <f>X$138</f>
        <v>73.900000000000006</v>
      </c>
      <c r="Y45" s="656">
        <f t="shared" si="44"/>
        <v>2.9930555555555554</v>
      </c>
      <c r="Z45" s="668">
        <f>Z$138</f>
        <v>2.3277777777777775</v>
      </c>
      <c r="AA45" s="668">
        <f>AA$138</f>
        <v>3.6583333333333337</v>
      </c>
      <c r="AB45" s="654">
        <v>13</v>
      </c>
      <c r="AC45" s="631">
        <f t="shared" si="38"/>
        <v>1.8457175925925919</v>
      </c>
      <c r="AD45" s="666">
        <f t="shared" ref="AD45:AF46" si="61">AD$138</f>
        <v>0.61666666666666647</v>
      </c>
      <c r="AE45" s="667">
        <f t="shared" si="61"/>
        <v>45.65</v>
      </c>
      <c r="AF45" s="667">
        <f t="shared" si="61"/>
        <v>50.55</v>
      </c>
      <c r="AG45" s="629">
        <f t="shared" si="51"/>
        <v>492</v>
      </c>
      <c r="AH45" s="668">
        <f>AH$138</f>
        <v>376</v>
      </c>
      <c r="AI45" s="668">
        <f>AI$138</f>
        <v>608</v>
      </c>
      <c r="AJ45" s="627">
        <v>50</v>
      </c>
      <c r="AK45" s="630">
        <f t="shared" si="39"/>
        <v>246</v>
      </c>
      <c r="AL45" s="634">
        <f t="shared" si="46"/>
        <v>0</v>
      </c>
      <c r="AM45" s="659">
        <v>0</v>
      </c>
      <c r="AN45" s="659">
        <v>0</v>
      </c>
      <c r="AO45" s="659">
        <v>0</v>
      </c>
      <c r="AP45" s="638" t="e">
        <f t="shared" si="40"/>
        <v>#N/A</v>
      </c>
      <c r="AQ45" s="639" t="e">
        <f t="shared" si="41"/>
        <v>#N/A</v>
      </c>
      <c r="AR45" s="640" t="e">
        <f t="shared" si="42"/>
        <v>#N/A</v>
      </c>
      <c r="AS45" s="641" t="e">
        <f t="shared" si="43"/>
        <v>#DIV/0!</v>
      </c>
      <c r="AT45" s="642" t="e">
        <f>FaktorenBG!F$43*(1+FaktorenBG!F$56)*IF(Auswahl_Behandlung_fest&lt;5,$F45,0)</f>
        <v>#N/A</v>
      </c>
      <c r="AU45" s="642" t="e">
        <f>FaktorenBG!G$43*(1+FaktorenBG!G$56)*IF(Auswahl_Behandlung_fest&lt;5,$F45,0)</f>
        <v>#N/A</v>
      </c>
      <c r="AV45" s="642" t="e">
        <f>FaktorenBG!H$43*(1+FaktorenBG!H$56)*IF(Auswahl_Behandlung_fest&lt;5,$F45,0)</f>
        <v>#N/A</v>
      </c>
      <c r="AW45" s="643">
        <f t="shared" si="20"/>
        <v>0</v>
      </c>
      <c r="AX45" s="643" t="e">
        <f>INDEX(InputsBG!$1:$1048576,AX$2,MATCH(Substrates!$AY45,InputsBG!$38:$38,0))</f>
        <v>#N/A</v>
      </c>
      <c r="AY45" s="660" t="s">
        <v>1762</v>
      </c>
      <c r="AZ45" s="661">
        <f>IF($G45&lt;0,$G45*INDEX(InputsBG!$1:$1048576,AZ$2,MATCH(Substrates!$AY45,InputsBG!$38:$38,0))/$AX45,0)</f>
        <v>0</v>
      </c>
      <c r="BA45" s="661">
        <f>IF($G45&lt;0,$G45*INDEX(InputsBG!$1:$1048576,BA$2,MATCH(Substrates!$AY45,InputsBG!$38:$38,0))/$AX45,0)</f>
        <v>0</v>
      </c>
      <c r="BB45" s="661">
        <f>IF($G45&lt;0,$G45*INDEX(InputsBG!$1:$1048576,BB$2,MATCH(Substrates!$AY45,InputsBG!$38:$38,0))/$AX45,0)</f>
        <v>0</v>
      </c>
      <c r="BC45" s="661">
        <f>IF($G45&lt;0,$G45*INDEX(InputsBG!$1:$1048576,BC$2,MATCH(Substrates!$AY45,InputsBG!$38:$38,0))/$AX45,0)</f>
        <v>0</v>
      </c>
      <c r="BD45" s="662">
        <f t="shared" si="47"/>
        <v>0</v>
      </c>
      <c r="BE45" s="645" t="e">
        <f t="shared" si="59"/>
        <v>#DIV/0!</v>
      </c>
      <c r="BF45" s="645" t="e">
        <f t="shared" si="60"/>
        <v>#DIV/0!</v>
      </c>
      <c r="BG45" s="663"/>
      <c r="BH45" s="584"/>
      <c r="BI45" s="584"/>
      <c r="BJ45" s="584"/>
      <c r="BK45" s="584"/>
      <c r="BL45" s="584"/>
      <c r="BM45" s="584"/>
      <c r="BN45" s="584"/>
      <c r="BO45" s="584"/>
      <c r="BP45" s="584"/>
      <c r="BQ45" s="584"/>
      <c r="BR45" s="584"/>
      <c r="BS45" s="584"/>
      <c r="BT45" s="584" t="str">
        <f t="shared" si="48"/>
        <v>meat mixed, IP, at slaughterhouse</v>
      </c>
      <c r="BU45" s="584"/>
    </row>
    <row r="46" spans="1:73" s="878" customFormat="1">
      <c r="A46" s="933" t="s">
        <v>133</v>
      </c>
      <c r="B46" s="673" t="s">
        <v>442</v>
      </c>
      <c r="C46" s="201" t="s">
        <v>1539</v>
      </c>
      <c r="D46" s="625"/>
      <c r="E46" s="819" t="str">
        <f t="shared" si="57"/>
        <v>Yeast</v>
      </c>
      <c r="F46" s="795">
        <v>0</v>
      </c>
      <c r="G46" s="797">
        <v>0</v>
      </c>
      <c r="H46" s="906">
        <v>0</v>
      </c>
      <c r="I46" s="906">
        <v>0</v>
      </c>
      <c r="K46" s="898"/>
      <c r="L46" s="885">
        <f t="shared" si="36"/>
        <v>0</v>
      </c>
      <c r="M46" s="899">
        <f t="shared" si="37"/>
        <v>0</v>
      </c>
      <c r="N46" s="899"/>
      <c r="O46" s="899"/>
      <c r="P46" s="899"/>
      <c r="Q46" s="899"/>
      <c r="R46" s="897" t="str">
        <f>IF(F46&gt;0,IF(G46/F46/1000&lt;AX46,INDEX(menuesBG!$1:$1048576,Warnung,sprache),""),"")</f>
        <v/>
      </c>
      <c r="S46" s="629">
        <f t="shared" si="49"/>
        <v>30.7</v>
      </c>
      <c r="T46" s="668">
        <f>T$138</f>
        <v>30.7</v>
      </c>
      <c r="U46" s="668">
        <f>U$138</f>
        <v>30.7</v>
      </c>
      <c r="V46" s="629">
        <f t="shared" si="50"/>
        <v>73.900000000000006</v>
      </c>
      <c r="W46" s="668">
        <f>W$138</f>
        <v>73.900000000000006</v>
      </c>
      <c r="X46" s="668">
        <f>X$138</f>
        <v>73.900000000000006</v>
      </c>
      <c r="Y46" s="656">
        <f t="shared" si="44"/>
        <v>2.9930555555555554</v>
      </c>
      <c r="Z46" s="668">
        <f>Z$138</f>
        <v>2.3277777777777775</v>
      </c>
      <c r="AA46" s="668">
        <f>AA$138</f>
        <v>3.6583333333333337</v>
      </c>
      <c r="AB46" s="654">
        <v>13</v>
      </c>
      <c r="AC46" s="631">
        <f t="shared" si="38"/>
        <v>1.8457175925925919</v>
      </c>
      <c r="AD46" s="666">
        <f t="shared" si="61"/>
        <v>0.61666666666666647</v>
      </c>
      <c r="AE46" s="667">
        <f t="shared" si="61"/>
        <v>45.65</v>
      </c>
      <c r="AF46" s="667">
        <f t="shared" si="61"/>
        <v>50.55</v>
      </c>
      <c r="AG46" s="629">
        <f t="shared" si="51"/>
        <v>492</v>
      </c>
      <c r="AH46" s="668">
        <f>AH$138</f>
        <v>376</v>
      </c>
      <c r="AI46" s="668">
        <f>AI$138</f>
        <v>608</v>
      </c>
      <c r="AJ46" s="627">
        <v>50</v>
      </c>
      <c r="AK46" s="630">
        <f t="shared" si="39"/>
        <v>246</v>
      </c>
      <c r="AL46" s="634">
        <f t="shared" si="46"/>
        <v>0</v>
      </c>
      <c r="AM46" s="659">
        <v>0</v>
      </c>
      <c r="AN46" s="659">
        <v>0</v>
      </c>
      <c r="AO46" s="659">
        <v>0</v>
      </c>
      <c r="AP46" s="638" t="e">
        <f t="shared" si="40"/>
        <v>#N/A</v>
      </c>
      <c r="AQ46" s="639" t="e">
        <f t="shared" si="41"/>
        <v>#N/A</v>
      </c>
      <c r="AR46" s="640" t="e">
        <f t="shared" si="42"/>
        <v>#N/A</v>
      </c>
      <c r="AS46" s="641" t="e">
        <f t="shared" si="43"/>
        <v>#DIV/0!</v>
      </c>
      <c r="AT46" s="642" t="e">
        <f>FaktorenBG!F$43*(1+FaktorenBG!F$56)*IF(Auswahl_Behandlung_fest&lt;5,$F46,0)</f>
        <v>#N/A</v>
      </c>
      <c r="AU46" s="642" t="e">
        <f>FaktorenBG!G$43*(1+FaktorenBG!G$56)*IF(Auswahl_Behandlung_fest&lt;5,$F46,0)</f>
        <v>#N/A</v>
      </c>
      <c r="AV46" s="642" t="e">
        <f>FaktorenBG!H$43*(1+FaktorenBG!H$56)*IF(Auswahl_Behandlung_fest&lt;5,$F46,0)</f>
        <v>#N/A</v>
      </c>
      <c r="AW46" s="643">
        <f t="shared" si="20"/>
        <v>0</v>
      </c>
      <c r="AX46" s="643" t="e">
        <f>INDEX(InputsBG!$1:$1048576,AX$2,MATCH(Substrates!$AY46,InputsBG!$38:$38,0))</f>
        <v>#N/A</v>
      </c>
      <c r="AY46" s="660" t="s">
        <v>1765</v>
      </c>
      <c r="AZ46" s="661">
        <f>IF($G46&lt;0,$G46*INDEX(InputsBG!$1:$1048576,AZ$2,MATCH(Substrates!$AY46,InputsBG!$38:$38,0))/$AX46,0)</f>
        <v>0</v>
      </c>
      <c r="BA46" s="661">
        <f>IF($G46&lt;0,$G46*INDEX(InputsBG!$1:$1048576,BA$2,MATCH(Substrates!$AY46,InputsBG!$38:$38,0))/$AX46,0)</f>
        <v>0</v>
      </c>
      <c r="BB46" s="661">
        <f>IF($G46&lt;0,$G46*INDEX(InputsBG!$1:$1048576,BB$2,MATCH(Substrates!$AY46,InputsBG!$38:$38,0))/$AX46,0)</f>
        <v>0</v>
      </c>
      <c r="BC46" s="661">
        <f>IF($G46&lt;0,$G46*INDEX(InputsBG!$1:$1048576,BC$2,MATCH(Substrates!$AY46,InputsBG!$38:$38,0))/$AX46,0)</f>
        <v>0</v>
      </c>
      <c r="BD46" s="662">
        <f t="shared" si="47"/>
        <v>0</v>
      </c>
      <c r="BE46" s="645" t="e">
        <f t="shared" si="59"/>
        <v>#DIV/0!</v>
      </c>
      <c r="BF46" s="645" t="e">
        <f t="shared" si="60"/>
        <v>#DIV/0!</v>
      </c>
      <c r="BG46" s="663"/>
      <c r="BH46" s="584"/>
      <c r="BI46" s="584"/>
      <c r="BJ46" s="584"/>
      <c r="BK46" s="584"/>
      <c r="BL46" s="584"/>
      <c r="BM46" s="584"/>
      <c r="BN46" s="584"/>
      <c r="BO46" s="584"/>
      <c r="BP46" s="584"/>
      <c r="BQ46" s="584"/>
      <c r="BR46" s="584"/>
      <c r="BS46" s="584"/>
      <c r="BT46" s="584" t="str">
        <f t="shared" si="48"/>
        <v>yeast, at plant</v>
      </c>
      <c r="BU46" s="584"/>
    </row>
    <row r="47" spans="1:73" s="878" customFormat="1">
      <c r="A47" s="673" t="s">
        <v>111</v>
      </c>
      <c r="B47" s="673" t="s">
        <v>443</v>
      </c>
      <c r="C47" s="201" t="s">
        <v>1540</v>
      </c>
      <c r="D47" s="625"/>
      <c r="E47" s="819" t="str">
        <f t="shared" si="57"/>
        <v>Medicinal herb residue</v>
      </c>
      <c r="F47" s="795">
        <v>0</v>
      </c>
      <c r="G47" s="797">
        <v>0</v>
      </c>
      <c r="H47" s="906">
        <v>0</v>
      </c>
      <c r="I47" s="906">
        <v>0</v>
      </c>
      <c r="K47" s="898"/>
      <c r="L47" s="885">
        <f t="shared" si="36"/>
        <v>0</v>
      </c>
      <c r="M47" s="899">
        <f t="shared" si="37"/>
        <v>0</v>
      </c>
      <c r="N47" s="899"/>
      <c r="O47" s="899"/>
      <c r="P47" s="899"/>
      <c r="Q47" s="899"/>
      <c r="R47" s="897" t="str">
        <f>IF(F47&gt;0,IF(G47/F47/1000&lt;AX47,INDEX(menuesBG!$1:$1048576,Warnung,sprache),""),"")</f>
        <v/>
      </c>
      <c r="S47" s="629">
        <f t="shared" si="49"/>
        <v>55</v>
      </c>
      <c r="T47" s="628">
        <v>50</v>
      </c>
      <c r="U47" s="628">
        <v>60</v>
      </c>
      <c r="V47" s="629">
        <f t="shared" si="50"/>
        <v>60</v>
      </c>
      <c r="W47" s="628">
        <v>50</v>
      </c>
      <c r="X47" s="628">
        <v>70</v>
      </c>
      <c r="Y47" s="656">
        <f t="shared" si="44"/>
        <v>2.25</v>
      </c>
      <c r="Z47" s="628">
        <v>2</v>
      </c>
      <c r="AA47" s="628">
        <v>2.5</v>
      </c>
      <c r="AB47" s="654">
        <v>13</v>
      </c>
      <c r="AC47" s="631">
        <f t="shared" si="38"/>
        <v>1.3499999999999999</v>
      </c>
      <c r="AD47" s="657">
        <v>0.6</v>
      </c>
      <c r="AE47" s="633"/>
      <c r="AF47" s="633"/>
      <c r="AG47" s="629">
        <f t="shared" si="51"/>
        <v>400</v>
      </c>
      <c r="AH47" s="658">
        <v>350</v>
      </c>
      <c r="AI47" s="658">
        <v>450</v>
      </c>
      <c r="AJ47" s="627">
        <v>57</v>
      </c>
      <c r="AK47" s="630">
        <f t="shared" si="39"/>
        <v>228</v>
      </c>
      <c r="AL47" s="634">
        <f t="shared" si="46"/>
        <v>0</v>
      </c>
      <c r="AM47" s="659">
        <v>0</v>
      </c>
      <c r="AN47" s="659">
        <v>0</v>
      </c>
      <c r="AO47" s="659">
        <v>0</v>
      </c>
      <c r="AP47" s="638" t="e">
        <f t="shared" si="40"/>
        <v>#N/A</v>
      </c>
      <c r="AQ47" s="639" t="e">
        <f t="shared" si="41"/>
        <v>#N/A</v>
      </c>
      <c r="AR47" s="640" t="e">
        <f t="shared" si="42"/>
        <v>#N/A</v>
      </c>
      <c r="AS47" s="641" t="e">
        <f t="shared" si="43"/>
        <v>#DIV/0!</v>
      </c>
      <c r="AT47" s="642" t="e">
        <f>FaktorenBG!F$43*(1+FaktorenBG!F$56)*IF(Auswahl_Behandlung_fest&lt;5,$F47,0)</f>
        <v>#N/A</v>
      </c>
      <c r="AU47" s="642" t="e">
        <f>FaktorenBG!G$43*(1+FaktorenBG!G$56)*IF(Auswahl_Behandlung_fest&lt;5,$F47,0)</f>
        <v>#N/A</v>
      </c>
      <c r="AV47" s="642" t="e">
        <f>FaktorenBG!H$43*(1+FaktorenBG!H$56)*IF(Auswahl_Behandlung_fest&lt;5,$F47,0)</f>
        <v>#N/A</v>
      </c>
      <c r="AW47" s="643">
        <f t="shared" si="20"/>
        <v>0</v>
      </c>
      <c r="AX47" s="643" t="e">
        <f>INDEX(InputsBG!$1:$1048576,AX$2,MATCH(Substrates!$AY47,InputsBG!$38:$38,0))</f>
        <v>#N/A</v>
      </c>
      <c r="AY47" s="669" t="s">
        <v>893</v>
      </c>
      <c r="AZ47" s="661">
        <f>IF($G47&lt;0,$G47*INDEX(InputsBG!$1:$1048576,AZ$2,MATCH(Substrates!$AY47,InputsBG!$38:$38,0))/$AX47,0)</f>
        <v>0</v>
      </c>
      <c r="BA47" s="661">
        <f>IF($G47&lt;0,$G47*INDEX(InputsBG!$1:$1048576,BA$2,MATCH(Substrates!$AY47,InputsBG!$38:$38,0))/$AX47,0)</f>
        <v>0</v>
      </c>
      <c r="BB47" s="661">
        <f>IF($G47&lt;0,$G47*INDEX(InputsBG!$1:$1048576,BB$2,MATCH(Substrates!$AY47,InputsBG!$38:$38,0))/$AX47,0)</f>
        <v>0</v>
      </c>
      <c r="BC47" s="661">
        <f>IF($G47&lt;0,$G47*INDEX(InputsBG!$1:$1048576,BC$2,MATCH(Substrates!$AY47,InputsBG!$38:$38,0))/$AX47,0)</f>
        <v>0</v>
      </c>
      <c r="BD47" s="662">
        <f t="shared" si="47"/>
        <v>0</v>
      </c>
      <c r="BE47" s="645" t="e">
        <f t="shared" si="59"/>
        <v>#DIV/0!</v>
      </c>
      <c r="BF47" s="645" t="e">
        <f t="shared" si="60"/>
        <v>#DIV/0!</v>
      </c>
      <c r="BG47" s="663"/>
      <c r="BH47" s="584"/>
      <c r="BI47" s="584"/>
      <c r="BJ47" s="584"/>
      <c r="BK47" s="584"/>
      <c r="BL47" s="584"/>
      <c r="BM47" s="584"/>
      <c r="BN47" s="584"/>
      <c r="BO47" s="584"/>
      <c r="BP47" s="584"/>
      <c r="BQ47" s="584"/>
      <c r="BR47" s="584"/>
      <c r="BS47" s="584"/>
      <c r="BT47" s="584" t="e">
        <f t="shared" si="48"/>
        <v>#VALUE!</v>
      </c>
      <c r="BU47" s="584"/>
    </row>
    <row r="48" spans="1:73" s="878" customFormat="1">
      <c r="A48" s="933" t="s">
        <v>134</v>
      </c>
      <c r="B48" s="673" t="s">
        <v>444</v>
      </c>
      <c r="C48" s="201" t="s">
        <v>1541</v>
      </c>
      <c r="D48" s="625"/>
      <c r="E48" s="819" t="str">
        <f t="shared" si="57"/>
        <v>Coffee grounds, disposals from production and preparation of coffee</v>
      </c>
      <c r="F48" s="795">
        <v>0</v>
      </c>
      <c r="G48" s="797">
        <v>0</v>
      </c>
      <c r="H48" s="906">
        <v>0</v>
      </c>
      <c r="I48" s="906">
        <v>0</v>
      </c>
      <c r="K48" s="898"/>
      <c r="L48" s="885">
        <f t="shared" si="36"/>
        <v>0</v>
      </c>
      <c r="M48" s="899">
        <f t="shared" si="37"/>
        <v>0</v>
      </c>
      <c r="N48" s="899"/>
      <c r="O48" s="899"/>
      <c r="P48" s="899"/>
      <c r="Q48" s="899"/>
      <c r="R48" s="897" t="str">
        <f>IF(F48&gt;0,IF(G48/F48/1000&lt;AX48,INDEX(menuesBG!$1:$1048576,Warnung,sprache),""),"")</f>
        <v/>
      </c>
      <c r="S48" s="627">
        <v>36.5</v>
      </c>
      <c r="T48" s="628"/>
      <c r="U48" s="628"/>
      <c r="V48" s="627">
        <f>(W48+X48)/2</f>
        <v>0</v>
      </c>
      <c r="W48" s="628"/>
      <c r="X48" s="628"/>
      <c r="Y48" s="656">
        <f t="shared" si="44"/>
        <v>2.9930555555555554</v>
      </c>
      <c r="Z48" s="668">
        <f>Z$138</f>
        <v>2.3277777777777775</v>
      </c>
      <c r="AA48" s="668">
        <f>AA$138</f>
        <v>3.6583333333333337</v>
      </c>
      <c r="AB48" s="654">
        <v>13</v>
      </c>
      <c r="AC48" s="631">
        <f>AD48*Y48</f>
        <v>1.8457175925925919</v>
      </c>
      <c r="AD48" s="666">
        <f t="shared" ref="AD48:AF49" si="62">AD$138</f>
        <v>0.61666666666666647</v>
      </c>
      <c r="AE48" s="667">
        <f t="shared" si="62"/>
        <v>45.65</v>
      </c>
      <c r="AF48" s="667">
        <f t="shared" si="62"/>
        <v>50.55</v>
      </c>
      <c r="AG48" s="629">
        <f>(AH48+AI48)/2</f>
        <v>492</v>
      </c>
      <c r="AH48" s="668">
        <f>AH$138</f>
        <v>376</v>
      </c>
      <c r="AI48" s="668">
        <f>AI$138</f>
        <v>608</v>
      </c>
      <c r="AJ48" s="627">
        <v>50</v>
      </c>
      <c r="AK48" s="630">
        <f t="shared" si="39"/>
        <v>246</v>
      </c>
      <c r="AL48" s="634">
        <f t="shared" si="46"/>
        <v>0</v>
      </c>
      <c r="AM48" s="659">
        <v>0</v>
      </c>
      <c r="AN48" s="659">
        <v>0</v>
      </c>
      <c r="AO48" s="659">
        <v>0</v>
      </c>
      <c r="AP48" s="638" t="e">
        <f t="shared" si="40"/>
        <v>#N/A</v>
      </c>
      <c r="AQ48" s="639" t="e">
        <f t="shared" si="41"/>
        <v>#N/A</v>
      </c>
      <c r="AR48" s="640" t="e">
        <f t="shared" si="42"/>
        <v>#N/A</v>
      </c>
      <c r="AS48" s="641" t="e">
        <f t="shared" si="43"/>
        <v>#DIV/0!</v>
      </c>
      <c r="AT48" s="642" t="e">
        <f>FaktorenBG!F$43*(1+FaktorenBG!F$56)*IF(Auswahl_Behandlung_fest&lt;5,$F48,0)</f>
        <v>#N/A</v>
      </c>
      <c r="AU48" s="642" t="e">
        <f>FaktorenBG!G$43*(1+FaktorenBG!G$56)*IF(Auswahl_Behandlung_fest&lt;5,$F48,0)</f>
        <v>#N/A</v>
      </c>
      <c r="AV48" s="642" t="e">
        <f>FaktorenBG!H$43*(1+FaktorenBG!H$56)*IF(Auswahl_Behandlung_fest&lt;5,$F48,0)</f>
        <v>#N/A</v>
      </c>
      <c r="AW48" s="643">
        <f t="shared" si="20"/>
        <v>0</v>
      </c>
      <c r="AX48" s="643" t="e">
        <f>INDEX(InputsBG!$1:$1048576,AX$2,MATCH(Substrates!$AY48,InputsBG!$38:$38,0))</f>
        <v>#N/A</v>
      </c>
      <c r="AY48" s="669" t="s">
        <v>893</v>
      </c>
      <c r="AZ48" s="661">
        <f>IF($G48&lt;0,$G48*INDEX(InputsBG!$1:$1048576,AZ$2,MATCH(Substrates!$AY48,InputsBG!$38:$38,0))/$AX48,0)</f>
        <v>0</v>
      </c>
      <c r="BA48" s="661">
        <f>IF($G48&lt;0,$G48*INDEX(InputsBG!$1:$1048576,BA$2,MATCH(Substrates!$AY48,InputsBG!$38:$38,0))/$AX48,0)</f>
        <v>0</v>
      </c>
      <c r="BB48" s="661">
        <f>IF($G48&lt;0,$G48*INDEX(InputsBG!$1:$1048576,BB$2,MATCH(Substrates!$AY48,InputsBG!$38:$38,0))/$AX48,0)</f>
        <v>0</v>
      </c>
      <c r="BC48" s="661">
        <f>IF($G48&lt;0,$G48*INDEX(InputsBG!$1:$1048576,BC$2,MATCH(Substrates!$AY48,InputsBG!$38:$38,0))/$AX48,0)</f>
        <v>0</v>
      </c>
      <c r="BD48" s="662">
        <f t="shared" si="47"/>
        <v>0</v>
      </c>
      <c r="BE48" s="645" t="e">
        <f t="shared" si="59"/>
        <v>#DIV/0!</v>
      </c>
      <c r="BF48" s="645" t="e">
        <f t="shared" si="60"/>
        <v>#DIV/0!</v>
      </c>
      <c r="BG48" s="663"/>
      <c r="BH48" s="584"/>
      <c r="BI48" s="584"/>
      <c r="BJ48" s="584"/>
      <c r="BK48" s="584"/>
      <c r="BL48" s="584"/>
      <c r="BM48" s="584"/>
      <c r="BN48" s="584"/>
      <c r="BO48" s="584"/>
      <c r="BP48" s="584"/>
      <c r="BQ48" s="584"/>
      <c r="BR48" s="584"/>
      <c r="BS48" s="584"/>
      <c r="BT48" s="584" t="e">
        <f t="shared" si="48"/>
        <v>#VALUE!</v>
      </c>
      <c r="BU48" s="584"/>
    </row>
    <row r="49" spans="1:73" s="878" customFormat="1">
      <c r="A49" s="933" t="s">
        <v>135</v>
      </c>
      <c r="B49" s="673" t="s">
        <v>445</v>
      </c>
      <c r="C49" s="201" t="s">
        <v>1542</v>
      </c>
      <c r="D49" s="625"/>
      <c r="E49" s="819" t="str">
        <f t="shared" si="57"/>
        <v>Cocoa husks</v>
      </c>
      <c r="F49" s="795">
        <v>0</v>
      </c>
      <c r="G49" s="797">
        <v>0</v>
      </c>
      <c r="H49" s="906">
        <v>0</v>
      </c>
      <c r="I49" s="906">
        <v>0</v>
      </c>
      <c r="K49" s="898"/>
      <c r="L49" s="885">
        <f t="shared" si="36"/>
        <v>0</v>
      </c>
      <c r="M49" s="899">
        <f t="shared" si="37"/>
        <v>0</v>
      </c>
      <c r="N49" s="899"/>
      <c r="O49" s="899"/>
      <c r="P49" s="899"/>
      <c r="Q49" s="899"/>
      <c r="R49" s="897" t="str">
        <f>IF(F49&gt;0,IF(G49/F49/1000&lt;AX49,INDEX(menuesBG!$1:$1048576,Warnung,sprache),""),"")</f>
        <v/>
      </c>
      <c r="S49" s="627">
        <v>95</v>
      </c>
      <c r="T49" s="628"/>
      <c r="U49" s="628"/>
      <c r="V49" s="627">
        <v>91</v>
      </c>
      <c r="W49" s="628"/>
      <c r="X49" s="628"/>
      <c r="Y49" s="656">
        <v>2.2000000000000002</v>
      </c>
      <c r="Z49" s="627"/>
      <c r="AA49" s="627"/>
      <c r="AB49" s="654">
        <v>13</v>
      </c>
      <c r="AC49" s="631">
        <f>AD49*Y49</f>
        <v>1.3566666666666662</v>
      </c>
      <c r="AD49" s="666">
        <f t="shared" si="62"/>
        <v>0.61666666666666647</v>
      </c>
      <c r="AE49" s="667">
        <f t="shared" si="62"/>
        <v>45.65</v>
      </c>
      <c r="AF49" s="667">
        <f t="shared" si="62"/>
        <v>50.55</v>
      </c>
      <c r="AG49" s="676">
        <f>(AH49+AI49)/2</f>
        <v>492</v>
      </c>
      <c r="AH49" s="668">
        <f>AH$138</f>
        <v>376</v>
      </c>
      <c r="AI49" s="668">
        <f>AI$138</f>
        <v>608</v>
      </c>
      <c r="AJ49" s="627">
        <v>60</v>
      </c>
      <c r="AK49" s="630">
        <f t="shared" si="39"/>
        <v>295.2</v>
      </c>
      <c r="AL49" s="634">
        <f t="shared" si="46"/>
        <v>0</v>
      </c>
      <c r="AM49" s="659">
        <v>0</v>
      </c>
      <c r="AN49" s="659">
        <v>0</v>
      </c>
      <c r="AO49" s="659">
        <v>0</v>
      </c>
      <c r="AP49" s="638" t="e">
        <f t="shared" si="40"/>
        <v>#N/A</v>
      </c>
      <c r="AQ49" s="639" t="e">
        <f t="shared" si="41"/>
        <v>#N/A</v>
      </c>
      <c r="AR49" s="640" t="e">
        <f t="shared" si="42"/>
        <v>#N/A</v>
      </c>
      <c r="AS49" s="641" t="e">
        <f t="shared" si="43"/>
        <v>#DIV/0!</v>
      </c>
      <c r="AT49" s="642" t="e">
        <f>FaktorenBG!F$43*(1+FaktorenBG!F$56)*IF(Auswahl_Behandlung_fest&lt;5,$F49,0)</f>
        <v>#N/A</v>
      </c>
      <c r="AU49" s="642" t="e">
        <f>FaktorenBG!G$43*(1+FaktorenBG!G$56)*IF(Auswahl_Behandlung_fest&lt;5,$F49,0)</f>
        <v>#N/A</v>
      </c>
      <c r="AV49" s="642" t="e">
        <f>FaktorenBG!H$43*(1+FaktorenBG!H$56)*IF(Auswahl_Behandlung_fest&lt;5,$F49,0)</f>
        <v>#N/A</v>
      </c>
      <c r="AW49" s="643">
        <f t="shared" si="20"/>
        <v>0</v>
      </c>
      <c r="AX49" s="643" t="e">
        <f>INDEX(InputsBG!$1:$1048576,AX$2,MATCH(Substrates!$AY49,InputsBG!$38:$38,0))</f>
        <v>#N/A</v>
      </c>
      <c r="AY49" s="669" t="s">
        <v>893</v>
      </c>
      <c r="AZ49" s="661">
        <f>IF($G49&lt;0,$G49*INDEX(InputsBG!$1:$1048576,AZ$2,MATCH(Substrates!$AY49,InputsBG!$38:$38,0))/$AX49,0)</f>
        <v>0</v>
      </c>
      <c r="BA49" s="661">
        <f>IF($G49&lt;0,$G49*INDEX(InputsBG!$1:$1048576,BA$2,MATCH(Substrates!$AY49,InputsBG!$38:$38,0))/$AX49,0)</f>
        <v>0</v>
      </c>
      <c r="BB49" s="661">
        <f>IF($G49&lt;0,$G49*INDEX(InputsBG!$1:$1048576,BB$2,MATCH(Substrates!$AY49,InputsBG!$38:$38,0))/$AX49,0)</f>
        <v>0</v>
      </c>
      <c r="BC49" s="661">
        <f>IF($G49&lt;0,$G49*INDEX(InputsBG!$1:$1048576,BC$2,MATCH(Substrates!$AY49,InputsBG!$38:$38,0))/$AX49,0)</f>
        <v>0</v>
      </c>
      <c r="BD49" s="662">
        <f t="shared" si="47"/>
        <v>0</v>
      </c>
      <c r="BE49" s="645" t="e">
        <f t="shared" si="59"/>
        <v>#DIV/0!</v>
      </c>
      <c r="BF49" s="645" t="e">
        <f t="shared" si="60"/>
        <v>#DIV/0!</v>
      </c>
      <c r="BG49" s="663"/>
      <c r="BH49" s="584"/>
      <c r="BI49" s="584"/>
      <c r="BJ49" s="584"/>
      <c r="BK49" s="584"/>
      <c r="BL49" s="584"/>
      <c r="BM49" s="584"/>
      <c r="BN49" s="584"/>
      <c r="BO49" s="584"/>
      <c r="BP49" s="584"/>
      <c r="BQ49" s="584"/>
      <c r="BR49" s="584"/>
      <c r="BS49" s="584"/>
      <c r="BT49" s="584" t="e">
        <f t="shared" si="48"/>
        <v>#VALUE!</v>
      </c>
      <c r="BU49" s="584"/>
    </row>
    <row r="50" spans="1:73" s="878" customFormat="1">
      <c r="A50" s="933" t="s">
        <v>165</v>
      </c>
      <c r="B50" s="673" t="s">
        <v>502</v>
      </c>
      <c r="C50" s="201" t="s">
        <v>1543</v>
      </c>
      <c r="D50" s="674"/>
      <c r="E50" s="819" t="str">
        <f t="shared" si="57"/>
        <v>Potatoes</v>
      </c>
      <c r="F50" s="795">
        <v>0</v>
      </c>
      <c r="G50" s="797">
        <v>0</v>
      </c>
      <c r="H50" s="906">
        <v>0</v>
      </c>
      <c r="I50" s="906">
        <v>0</v>
      </c>
      <c r="K50" s="898"/>
      <c r="L50" s="885">
        <f t="shared" si="36"/>
        <v>0</v>
      </c>
      <c r="M50" s="899">
        <f t="shared" si="37"/>
        <v>0</v>
      </c>
      <c r="N50" s="899"/>
      <c r="O50" s="899"/>
      <c r="P50" s="899"/>
      <c r="Q50" s="899"/>
      <c r="R50" s="897" t="str">
        <f>IF(F50&gt;0,IF(G50/F50/1000&lt;AX50,INDEX(menuesBG!$1:$1048576,Warnung,sprache),""),"")</f>
        <v/>
      </c>
      <c r="S50" s="629">
        <f t="shared" si="49"/>
        <v>25</v>
      </c>
      <c r="T50" s="628">
        <v>20</v>
      </c>
      <c r="U50" s="628">
        <v>30</v>
      </c>
      <c r="V50" s="629">
        <f t="shared" si="50"/>
        <v>80</v>
      </c>
      <c r="W50" s="628">
        <v>75</v>
      </c>
      <c r="X50" s="628">
        <v>85</v>
      </c>
      <c r="Y50" s="656">
        <f t="shared" si="44"/>
        <v>1.5</v>
      </c>
      <c r="Z50" s="628">
        <v>1.5</v>
      </c>
      <c r="AA50" s="628">
        <v>1.5</v>
      </c>
      <c r="AB50" s="665">
        <f>AVERAGE(0.04)/AVERAGE(0.5,1)*100</f>
        <v>5.3333333333333339</v>
      </c>
      <c r="AC50" s="631">
        <f t="shared" si="38"/>
        <v>0.97500000000000009</v>
      </c>
      <c r="AD50" s="657">
        <v>0.65</v>
      </c>
      <c r="AE50" s="633"/>
      <c r="AF50" s="633"/>
      <c r="AG50" s="629">
        <f t="shared" si="51"/>
        <v>550</v>
      </c>
      <c r="AH50" s="658">
        <v>500</v>
      </c>
      <c r="AI50" s="658">
        <v>600</v>
      </c>
      <c r="AJ50" s="627">
        <v>51</v>
      </c>
      <c r="AK50" s="630">
        <f t="shared" si="39"/>
        <v>280.5</v>
      </c>
      <c r="AL50" s="634">
        <f t="shared" si="46"/>
        <v>0</v>
      </c>
      <c r="AM50" s="659">
        <v>0</v>
      </c>
      <c r="AN50" s="659">
        <v>0</v>
      </c>
      <c r="AO50" s="659">
        <v>0</v>
      </c>
      <c r="AP50" s="638" t="e">
        <f t="shared" si="40"/>
        <v>#N/A</v>
      </c>
      <c r="AQ50" s="639" t="e">
        <f t="shared" si="41"/>
        <v>#N/A</v>
      </c>
      <c r="AR50" s="640" t="e">
        <f t="shared" si="42"/>
        <v>#N/A</v>
      </c>
      <c r="AS50" s="641" t="e">
        <f t="shared" si="43"/>
        <v>#DIV/0!</v>
      </c>
      <c r="AT50" s="642" t="e">
        <f>FaktorenBG!F$43*(1+FaktorenBG!F$56)*IF(Auswahl_Behandlung_fest&lt;5,$F50,0)</f>
        <v>#N/A</v>
      </c>
      <c r="AU50" s="642" t="e">
        <f>FaktorenBG!G$43*(1+FaktorenBG!G$56)*IF(Auswahl_Behandlung_fest&lt;5,$F50,0)</f>
        <v>#N/A</v>
      </c>
      <c r="AV50" s="642" t="e">
        <f>FaktorenBG!H$43*(1+FaktorenBG!H$56)*IF(Auswahl_Behandlung_fest&lt;5,$F50,0)</f>
        <v>#N/A</v>
      </c>
      <c r="AW50" s="643">
        <f t="shared" si="20"/>
        <v>0</v>
      </c>
      <c r="AX50" s="643" t="e">
        <f>INDEX(InputsBG!$1:$1048576,AX$2,MATCH(Substrates!$AY50,InputsBG!$38:$38,0))</f>
        <v>#N/A</v>
      </c>
      <c r="AY50" s="626" t="s">
        <v>1808</v>
      </c>
      <c r="AZ50" s="661">
        <f>IF($G50&lt;0,$G50*INDEX(InputsBG!$1:$1048576,AZ$2,MATCH(Substrates!$AY50,InputsBG!$38:$38,0))/$AX50,0)</f>
        <v>0</v>
      </c>
      <c r="BA50" s="661">
        <f>IF($G50&lt;0,$G50*INDEX(InputsBG!$1:$1048576,BA$2,MATCH(Substrates!$AY50,InputsBG!$38:$38,0))/$AX50,0)</f>
        <v>0</v>
      </c>
      <c r="BB50" s="661">
        <f>IF($G50&lt;0,$G50*INDEX(InputsBG!$1:$1048576,BB$2,MATCH(Substrates!$AY50,InputsBG!$38:$38,0))/$AX50,0)</f>
        <v>0</v>
      </c>
      <c r="BC50" s="661">
        <f>IF($G50&lt;0,$G50*INDEX(InputsBG!$1:$1048576,BC$2,MATCH(Substrates!$AY50,InputsBG!$38:$38,0))/$AX50,0)</f>
        <v>0</v>
      </c>
      <c r="BD50" s="662">
        <f t="shared" si="47"/>
        <v>0</v>
      </c>
      <c r="BE50" s="645" t="e">
        <f t="shared" si="59"/>
        <v>#DIV/0!</v>
      </c>
      <c r="BF50" s="645" t="e">
        <f t="shared" si="60"/>
        <v>#DIV/0!</v>
      </c>
      <c r="BG50" s="663"/>
      <c r="BH50" s="584"/>
      <c r="BI50" s="584"/>
      <c r="BJ50" s="584"/>
      <c r="BK50" s="584"/>
      <c r="BL50" s="584"/>
      <c r="BM50" s="584"/>
      <c r="BN50" s="584"/>
      <c r="BO50" s="584"/>
      <c r="BP50" s="584"/>
      <c r="BQ50" s="584"/>
      <c r="BR50" s="584"/>
      <c r="BS50" s="584"/>
      <c r="BT50" s="584" t="str">
        <f t="shared" si="48"/>
        <v>Potatoes IP, at farm</v>
      </c>
      <c r="BU50" s="584"/>
    </row>
    <row r="51" spans="1:73" s="878" customFormat="1">
      <c r="A51" s="933" t="s">
        <v>136</v>
      </c>
      <c r="B51" s="673" t="s">
        <v>761</v>
      </c>
      <c r="C51" s="201" t="s">
        <v>1544</v>
      </c>
      <c r="D51" s="625"/>
      <c r="E51" s="819" t="str">
        <f t="shared" si="57"/>
        <v>Cheese waste</v>
      </c>
      <c r="F51" s="795">
        <v>0</v>
      </c>
      <c r="G51" s="797">
        <v>0</v>
      </c>
      <c r="H51" s="906">
        <v>0</v>
      </c>
      <c r="I51" s="906">
        <v>0</v>
      </c>
      <c r="K51" s="898"/>
      <c r="L51" s="885">
        <f t="shared" si="36"/>
        <v>0</v>
      </c>
      <c r="M51" s="899">
        <f t="shared" si="37"/>
        <v>0</v>
      </c>
      <c r="N51" s="899"/>
      <c r="O51" s="899"/>
      <c r="P51" s="899"/>
      <c r="Q51" s="899"/>
      <c r="R51" s="897" t="str">
        <f>IF(F51&gt;0,IF(G51/F51/1000&lt;AX51,INDEX(menuesBG!$1:$1048576,Warnung,sprache),""),"")</f>
        <v/>
      </c>
      <c r="S51" s="627">
        <v>83.5</v>
      </c>
      <c r="T51" s="628"/>
      <c r="U51" s="628"/>
      <c r="V51" s="627">
        <v>93.1</v>
      </c>
      <c r="W51" s="628"/>
      <c r="X51" s="628"/>
      <c r="Y51" s="656">
        <f t="shared" si="44"/>
        <v>2.9930555555555554</v>
      </c>
      <c r="Z51" s="668">
        <f>Z$138</f>
        <v>2.3277777777777775</v>
      </c>
      <c r="AA51" s="668">
        <f>AA$138</f>
        <v>3.6583333333333337</v>
      </c>
      <c r="AB51" s="654">
        <v>13</v>
      </c>
      <c r="AC51" s="631">
        <f>AD51*Y51</f>
        <v>1.8457175925925919</v>
      </c>
      <c r="AD51" s="666">
        <f>AD$138</f>
        <v>0.61666666666666647</v>
      </c>
      <c r="AE51" s="667">
        <f>AE$138</f>
        <v>45.65</v>
      </c>
      <c r="AF51" s="667">
        <f>AF$138</f>
        <v>50.55</v>
      </c>
      <c r="AG51" s="627">
        <f>(AH51+AI51)/2</f>
        <v>795</v>
      </c>
      <c r="AH51" s="627">
        <v>690</v>
      </c>
      <c r="AI51" s="627">
        <v>900</v>
      </c>
      <c r="AJ51" s="627">
        <v>68</v>
      </c>
      <c r="AK51" s="630">
        <f t="shared" si="39"/>
        <v>540.6</v>
      </c>
      <c r="AL51" s="634">
        <f t="shared" si="46"/>
        <v>0</v>
      </c>
      <c r="AM51" s="659">
        <v>0</v>
      </c>
      <c r="AN51" s="659">
        <v>0</v>
      </c>
      <c r="AO51" s="659">
        <v>0</v>
      </c>
      <c r="AP51" s="638" t="e">
        <f t="shared" si="40"/>
        <v>#N/A</v>
      </c>
      <c r="AQ51" s="639" t="e">
        <f t="shared" si="41"/>
        <v>#N/A</v>
      </c>
      <c r="AR51" s="640" t="e">
        <f t="shared" si="42"/>
        <v>#N/A</v>
      </c>
      <c r="AS51" s="641" t="e">
        <f t="shared" si="43"/>
        <v>#DIV/0!</v>
      </c>
      <c r="AT51" s="642" t="e">
        <f>FaktorenBG!F$43*(1+FaktorenBG!F$56)*IF(Auswahl_Behandlung_fest&lt;5,$F51,0)</f>
        <v>#N/A</v>
      </c>
      <c r="AU51" s="642" t="e">
        <f>FaktorenBG!G$43*(1+FaktorenBG!G$56)*IF(Auswahl_Behandlung_fest&lt;5,$F51,0)</f>
        <v>#N/A</v>
      </c>
      <c r="AV51" s="642" t="e">
        <f>FaktorenBG!H$43*(1+FaktorenBG!H$56)*IF(Auswahl_Behandlung_fest&lt;5,$F51,0)</f>
        <v>#N/A</v>
      </c>
      <c r="AW51" s="643">
        <f t="shared" si="20"/>
        <v>0</v>
      </c>
      <c r="AX51" s="643" t="e">
        <f>INDEX(InputsBG!$1:$1048576,AX$2,MATCH(Substrates!$AY51,InputsBG!$38:$38,0))</f>
        <v>#N/A</v>
      </c>
      <c r="AY51" s="672" t="s">
        <v>1766</v>
      </c>
      <c r="AZ51" s="661">
        <f>IF($G51&lt;0,$G51*INDEX(InputsBG!$1:$1048576,AZ$2,MATCH(Substrates!$AY51,InputsBG!$38:$38,0))/$AX51,0)</f>
        <v>0</v>
      </c>
      <c r="BA51" s="661">
        <f>IF($G51&lt;0,$G51*INDEX(InputsBG!$1:$1048576,BA$2,MATCH(Substrates!$AY51,InputsBG!$38:$38,0))/$AX51,0)</f>
        <v>0</v>
      </c>
      <c r="BB51" s="661">
        <f>IF($G51&lt;0,$G51*INDEX(InputsBG!$1:$1048576,BB$2,MATCH(Substrates!$AY51,InputsBG!$38:$38,0))/$AX51,0)</f>
        <v>0</v>
      </c>
      <c r="BC51" s="661">
        <f>IF($G51&lt;0,$G51*INDEX(InputsBG!$1:$1048576,BC$2,MATCH(Substrates!$AY51,InputsBG!$38:$38,0))/$AX51,0)</f>
        <v>0</v>
      </c>
      <c r="BD51" s="662">
        <f t="shared" si="47"/>
        <v>0</v>
      </c>
      <c r="BE51" s="645" t="e">
        <f t="shared" si="59"/>
        <v>#DIV/0!</v>
      </c>
      <c r="BF51" s="645" t="e">
        <f t="shared" si="60"/>
        <v>#DIV/0!</v>
      </c>
      <c r="BG51" s="663"/>
      <c r="BH51" s="584"/>
      <c r="BI51" s="584"/>
      <c r="BJ51" s="584"/>
      <c r="BK51" s="584"/>
      <c r="BL51" s="584"/>
      <c r="BM51" s="584"/>
      <c r="BN51" s="584"/>
      <c r="BO51" s="584"/>
      <c r="BP51" s="584"/>
      <c r="BQ51" s="584"/>
      <c r="BR51" s="584"/>
      <c r="BS51" s="584"/>
      <c r="BT51" s="584" t="str">
        <f t="shared" si="48"/>
        <v>raw milk, silo zone, at farm</v>
      </c>
      <c r="BU51" s="584"/>
    </row>
    <row r="52" spans="1:73" s="878" customFormat="1">
      <c r="A52" s="933" t="s">
        <v>1810</v>
      </c>
      <c r="B52" s="673" t="s">
        <v>1812</v>
      </c>
      <c r="C52" s="201" t="s">
        <v>1811</v>
      </c>
      <c r="D52" s="625"/>
      <c r="E52" s="819" t="str">
        <f t="shared" ref="E52" si="63">IF(sprache=1,A52,IF(sprache=2,B52,C52))</f>
        <v xml:space="preserve">Lecithin </v>
      </c>
      <c r="F52" s="795">
        <v>0</v>
      </c>
      <c r="G52" s="797">
        <v>0</v>
      </c>
      <c r="H52" s="906">
        <v>0</v>
      </c>
      <c r="I52" s="906">
        <v>0</v>
      </c>
      <c r="K52" s="898"/>
      <c r="L52" s="885">
        <f t="shared" ref="L52" si="64">F52*S52*V52/10</f>
        <v>0</v>
      </c>
      <c r="M52" s="899">
        <f t="shared" ref="M52" si="65">F52*S52*V52/10000*AG52</f>
        <v>0</v>
      </c>
      <c r="N52" s="899"/>
      <c r="O52" s="899"/>
      <c r="P52" s="899"/>
      <c r="Q52" s="899"/>
      <c r="R52" s="897" t="str">
        <f>IF(F52&gt;0,IF(G52/F52/1000&lt;AX52,INDEX(menuesBG!$1:$1048576,Warnung,sprache),""),"")</f>
        <v/>
      </c>
      <c r="S52" s="780">
        <f>T100</f>
        <v>62.5</v>
      </c>
      <c r="T52" s="628"/>
      <c r="U52" s="628"/>
      <c r="V52" s="780">
        <f>W100</f>
        <v>100</v>
      </c>
      <c r="W52" s="628"/>
      <c r="X52" s="628"/>
      <c r="Y52" s="656">
        <f t="shared" ref="Y52" si="66">(Z52+AA52)/2</f>
        <v>6.5</v>
      </c>
      <c r="Z52" s="780">
        <f>AA100</f>
        <v>0</v>
      </c>
      <c r="AA52" s="780">
        <f>AB100</f>
        <v>13</v>
      </c>
      <c r="AB52" s="780">
        <f>AC100</f>
        <v>0</v>
      </c>
      <c r="AC52" s="631">
        <f>AD52*Y52</f>
        <v>552.5</v>
      </c>
      <c r="AD52" s="780">
        <f>AE100</f>
        <v>85</v>
      </c>
      <c r="AE52" s="780">
        <f>AF100</f>
        <v>85</v>
      </c>
      <c r="AF52" s="780">
        <f>AG100</f>
        <v>1160</v>
      </c>
      <c r="AG52" s="627">
        <f>(AH52+AI52)/2</f>
        <v>745.5</v>
      </c>
      <c r="AH52" s="780">
        <f>AI100</f>
        <v>1440</v>
      </c>
      <c r="AI52" s="780">
        <f>AJ100</f>
        <v>51</v>
      </c>
      <c r="AJ52" s="780">
        <f>AK100</f>
        <v>591.6</v>
      </c>
      <c r="AK52" s="630">
        <f t="shared" ref="AK52" si="67">AJ52*$AG52/100</f>
        <v>4410.3779999999997</v>
      </c>
      <c r="AL52" s="634">
        <f t="shared" ref="AL52" si="68">L52*50%*28.62%*12.5%</f>
        <v>0</v>
      </c>
      <c r="AM52" s="659">
        <v>0</v>
      </c>
      <c r="AN52" s="659">
        <v>0</v>
      </c>
      <c r="AO52" s="659">
        <v>0</v>
      </c>
      <c r="AP52" s="638" t="e">
        <f t="shared" si="40"/>
        <v>#N/A</v>
      </c>
      <c r="AQ52" s="639" t="e">
        <f t="shared" ref="AQ52" si="69">F52*1000*S52/100*Y52/100*AB52/100*NH3emittiert*AnteilNH3Lagerung*(1+NH3plus)*((1+Faktor_NH3_Behandlung)*Anteil_V_fest+(1+FaktorNH3GülleBehandlung)*Anteil_V_flüssig)</f>
        <v>#N/A</v>
      </c>
      <c r="AR52" s="640" t="e">
        <f t="shared" si="42"/>
        <v>#N/A</v>
      </c>
      <c r="AS52" s="641" t="e">
        <f t="shared" ref="AS52" si="70">F52*(N2O_Gülle*Anteil_V_flüssig*(1+Faktor_N2O_GülleBehandlung)+N2O_Kompost*Anteil_V_fest*(1+Faktor_N2O_Behandlung))</f>
        <v>#DIV/0!</v>
      </c>
      <c r="AT52" s="642" t="e">
        <f>FaktorenBG!F$43*(1+FaktorenBG!F$56)*IF(Auswahl_Behandlung_fest&lt;5,$F52,0)</f>
        <v>#N/A</v>
      </c>
      <c r="AU52" s="642" t="e">
        <f>FaktorenBG!G$43*(1+FaktorenBG!G$56)*IF(Auswahl_Behandlung_fest&lt;5,$F52,0)</f>
        <v>#N/A</v>
      </c>
      <c r="AV52" s="642" t="e">
        <f>FaktorenBG!H$43*(1+FaktorenBG!H$56)*IF(Auswahl_Behandlung_fest&lt;5,$F52,0)</f>
        <v>#N/A</v>
      </c>
      <c r="AW52" s="643">
        <f t="shared" ref="AW52" si="71">IF(F52&gt;0,G52/F52/1000,0)</f>
        <v>0</v>
      </c>
      <c r="AX52" s="643" t="e">
        <f>INDEX(InputsBG!$1:$1048576,AX$2,MATCH(Substrates!$AY52,InputsBG!$38:$38,0))</f>
        <v>#N/A</v>
      </c>
      <c r="AY52" s="672" t="s">
        <v>1809</v>
      </c>
      <c r="AZ52" s="661">
        <f>IF($G52&lt;0,$G52*INDEX(InputsBG!$1:$1048576,AZ$2,MATCH(Substrates!$AY52,InputsBG!$38:$38,0))/$AX52,0)</f>
        <v>0</v>
      </c>
      <c r="BA52" s="661">
        <f>IF($G52&lt;0,$G52*INDEX(InputsBG!$1:$1048576,BA$2,MATCH(Substrates!$AY52,InputsBG!$38:$38,0))/$AX52,0)</f>
        <v>0</v>
      </c>
      <c r="BB52" s="661">
        <f>IF($G52&lt;0,$G52*INDEX(InputsBG!$1:$1048576,BB$2,MATCH(Substrates!$AY52,InputsBG!$38:$38,0))/$AX52,0)</f>
        <v>0</v>
      </c>
      <c r="BC52" s="661">
        <f>IF($G52&lt;0,$G52*INDEX(InputsBG!$1:$1048576,BC$2,MATCH(Substrates!$AY52,InputsBG!$38:$38,0))/$AX52,0)</f>
        <v>0</v>
      </c>
      <c r="BD52" s="662">
        <f t="shared" si="47"/>
        <v>0</v>
      </c>
      <c r="BE52" s="645" t="e">
        <f t="shared" ref="BE52" si="72">M52/Gasertrag_berechnet</f>
        <v>#DIV/0!</v>
      </c>
      <c r="BF52" s="645" t="e">
        <f t="shared" ref="BF52" si="73">AZ52/Belastung_Substrat</f>
        <v>#DIV/0!</v>
      </c>
      <c r="BG52" s="663"/>
      <c r="BH52" s="584"/>
      <c r="BI52" s="584"/>
      <c r="BJ52" s="584"/>
      <c r="BK52" s="584"/>
      <c r="BL52" s="584"/>
      <c r="BM52" s="584"/>
      <c r="BN52" s="584"/>
      <c r="BO52" s="584"/>
      <c r="BP52" s="584"/>
      <c r="BQ52" s="584"/>
      <c r="BR52" s="584"/>
      <c r="BS52" s="584"/>
      <c r="BT52" s="584" t="str">
        <f t="shared" si="48"/>
        <v>Soybean lecithin, at oil mill</v>
      </c>
      <c r="BU52" s="584"/>
    </row>
    <row r="53" spans="1:73" s="878" customFormat="1">
      <c r="A53" s="933" t="s">
        <v>155</v>
      </c>
      <c r="B53" s="673" t="s">
        <v>446</v>
      </c>
      <c r="C53" s="201" t="s">
        <v>1545</v>
      </c>
      <c r="D53" s="625"/>
      <c r="E53" s="819" t="str">
        <f t="shared" si="57"/>
        <v>Gastrointestinal contents (pig)</v>
      </c>
      <c r="F53" s="795">
        <v>0</v>
      </c>
      <c r="G53" s="797">
        <v>0</v>
      </c>
      <c r="H53" s="906">
        <v>0</v>
      </c>
      <c r="I53" s="906">
        <v>0</v>
      </c>
      <c r="K53" s="898"/>
      <c r="L53" s="885">
        <f t="shared" ref="L53:L81" si="74">F53*S53*V53/10</f>
        <v>0</v>
      </c>
      <c r="M53" s="899">
        <f t="shared" ref="M53:M81" si="75">F53*S53*V53/10000*AG53</f>
        <v>0</v>
      </c>
      <c r="N53" s="899"/>
      <c r="O53" s="899"/>
      <c r="P53" s="899"/>
      <c r="Q53" s="899"/>
      <c r="R53" s="897" t="str">
        <f>IF(F53&gt;0,IF(G53/F53/1000&lt;AX53,INDEX(menuesBG!$1:$1048576,Warnung,sprache),""),"")</f>
        <v/>
      </c>
      <c r="S53" s="629">
        <f t="shared" si="49"/>
        <v>13.5</v>
      </c>
      <c r="T53" s="628">
        <v>12</v>
      </c>
      <c r="U53" s="628">
        <v>15</v>
      </c>
      <c r="V53" s="629">
        <f t="shared" si="50"/>
        <v>81</v>
      </c>
      <c r="W53" s="628">
        <v>76</v>
      </c>
      <c r="X53" s="628">
        <v>86</v>
      </c>
      <c r="Y53" s="656">
        <f t="shared" si="44"/>
        <v>3.8</v>
      </c>
      <c r="Z53" s="628">
        <v>2.6</v>
      </c>
      <c r="AA53" s="628">
        <v>5</v>
      </c>
      <c r="AB53" s="654">
        <v>13</v>
      </c>
      <c r="AC53" s="631">
        <f t="shared" si="38"/>
        <v>2.6599999999999997</v>
      </c>
      <c r="AD53" s="657">
        <v>0.7</v>
      </c>
      <c r="AE53" s="633"/>
      <c r="AF53" s="633"/>
      <c r="AG53" s="629">
        <f t="shared" si="51"/>
        <v>475</v>
      </c>
      <c r="AH53" s="658">
        <v>400</v>
      </c>
      <c r="AI53" s="658">
        <v>550</v>
      </c>
      <c r="AJ53" s="627">
        <v>55</v>
      </c>
      <c r="AK53" s="630">
        <f t="shared" si="39"/>
        <v>261.25</v>
      </c>
      <c r="AL53" s="634">
        <f t="shared" si="46"/>
        <v>0</v>
      </c>
      <c r="AM53" s="659">
        <v>0</v>
      </c>
      <c r="AN53" s="659">
        <v>0</v>
      </c>
      <c r="AO53" s="659">
        <v>0</v>
      </c>
      <c r="AP53" s="638" t="e">
        <f t="shared" si="40"/>
        <v>#N/A</v>
      </c>
      <c r="AQ53" s="639" t="e">
        <f t="shared" si="41"/>
        <v>#N/A</v>
      </c>
      <c r="AR53" s="640" t="e">
        <f t="shared" si="42"/>
        <v>#N/A</v>
      </c>
      <c r="AS53" s="641" t="e">
        <f t="shared" si="43"/>
        <v>#DIV/0!</v>
      </c>
      <c r="AT53" s="642" t="e">
        <f>FaktorenBG!F$43*(1+FaktorenBG!F$56)*IF(Auswahl_Behandlung_fest&lt;5,$F53,0)</f>
        <v>#N/A</v>
      </c>
      <c r="AU53" s="642" t="e">
        <f>FaktorenBG!G$43*(1+FaktorenBG!G$56)*IF(Auswahl_Behandlung_fest&lt;5,$F53,0)</f>
        <v>#N/A</v>
      </c>
      <c r="AV53" s="642" t="e">
        <f>FaktorenBG!H$43*(1+FaktorenBG!H$56)*IF(Auswahl_Behandlung_fest&lt;5,$F53,0)</f>
        <v>#N/A</v>
      </c>
      <c r="AW53" s="643">
        <f t="shared" si="20"/>
        <v>0</v>
      </c>
      <c r="AX53" s="643" t="e">
        <f>INDEX(InputsBG!$1:$1048576,AX$2,MATCH(Substrates!$AY53,InputsBG!$38:$38,0))</f>
        <v>#N/A</v>
      </c>
      <c r="AY53" s="669" t="s">
        <v>893</v>
      </c>
      <c r="AZ53" s="661">
        <f>IF($G53&lt;0,$G53*INDEX(InputsBG!$1:$1048576,AZ$2,MATCH(Substrates!$AY53,InputsBG!$38:$38,0))/$AX53,0)</f>
        <v>0</v>
      </c>
      <c r="BA53" s="661">
        <f>IF($G53&lt;0,$G53*INDEX(InputsBG!$1:$1048576,BA$2,MATCH(Substrates!$AY53,InputsBG!$38:$38,0))/$AX53,0)</f>
        <v>0</v>
      </c>
      <c r="BB53" s="661">
        <f>IF($G53&lt;0,$G53*INDEX(InputsBG!$1:$1048576,BB$2,MATCH(Substrates!$AY53,InputsBG!$38:$38,0))/$AX53,0)</f>
        <v>0</v>
      </c>
      <c r="BC53" s="661">
        <f>IF($G53&lt;0,$G53*INDEX(InputsBG!$1:$1048576,BC$2,MATCH(Substrates!$AY53,InputsBG!$38:$38,0))/$AX53,0)</f>
        <v>0</v>
      </c>
      <c r="BD53" s="662">
        <f t="shared" si="47"/>
        <v>0</v>
      </c>
      <c r="BE53" s="645" t="e">
        <f t="shared" si="59"/>
        <v>#DIV/0!</v>
      </c>
      <c r="BF53" s="645" t="e">
        <f t="shared" si="60"/>
        <v>#DIV/0!</v>
      </c>
      <c r="BG53" s="663"/>
      <c r="BH53" s="584"/>
      <c r="BI53" s="584"/>
      <c r="BJ53" s="584"/>
      <c r="BK53" s="584"/>
      <c r="BL53" s="584"/>
      <c r="BM53" s="584"/>
      <c r="BN53" s="584"/>
      <c r="BO53" s="584"/>
      <c r="BP53" s="584"/>
      <c r="BQ53" s="584"/>
      <c r="BR53" s="584"/>
      <c r="BS53" s="584"/>
      <c r="BT53" s="584" t="e">
        <f t="shared" si="48"/>
        <v>#VALUE!</v>
      </c>
      <c r="BU53" s="584"/>
    </row>
    <row r="54" spans="1:73" s="878" customFormat="1">
      <c r="A54" s="932" t="s">
        <v>125</v>
      </c>
      <c r="B54" s="673" t="s">
        <v>447</v>
      </c>
      <c r="C54" s="201" t="s">
        <v>1546</v>
      </c>
      <c r="D54" s="625"/>
      <c r="E54" s="819" t="str">
        <f t="shared" si="57"/>
        <v>Mowed material Road embankments and edges</v>
      </c>
      <c r="F54" s="795">
        <v>0</v>
      </c>
      <c r="G54" s="797">
        <v>0</v>
      </c>
      <c r="H54" s="906">
        <v>0</v>
      </c>
      <c r="I54" s="906">
        <v>0</v>
      </c>
      <c r="K54" s="898"/>
      <c r="L54" s="885">
        <f t="shared" si="74"/>
        <v>0</v>
      </c>
      <c r="M54" s="899">
        <f t="shared" si="75"/>
        <v>0</v>
      </c>
      <c r="N54" s="899"/>
      <c r="O54" s="899"/>
      <c r="P54" s="899"/>
      <c r="Q54" s="899"/>
      <c r="R54" s="897" t="str">
        <f>IF(F54&gt;0,IF(G54/F54/1000&lt;AX54,INDEX(menuesBG!$1:$1048576,Warnung,sprache),""),"")</f>
        <v/>
      </c>
      <c r="S54" s="629">
        <f t="shared" si="49"/>
        <v>29.5</v>
      </c>
      <c r="T54" s="628">
        <v>22</v>
      </c>
      <c r="U54" s="628">
        <v>37</v>
      </c>
      <c r="V54" s="629">
        <f t="shared" si="50"/>
        <v>94.5</v>
      </c>
      <c r="W54" s="628">
        <v>93</v>
      </c>
      <c r="X54" s="628">
        <v>96</v>
      </c>
      <c r="Y54" s="656">
        <f t="shared" si="44"/>
        <v>2.5</v>
      </c>
      <c r="Z54" s="628">
        <v>2</v>
      </c>
      <c r="AA54" s="628">
        <v>3</v>
      </c>
      <c r="AB54" s="665">
        <f>AVERAGE(3.5,6.9)/AVERAGE(6.9,19.8)*100</f>
        <v>38.951310861423217</v>
      </c>
      <c r="AC54" s="631">
        <f t="shared" si="38"/>
        <v>1.5</v>
      </c>
      <c r="AD54" s="657">
        <v>0.6</v>
      </c>
      <c r="AE54" s="633"/>
      <c r="AF54" s="633"/>
      <c r="AG54" s="629">
        <f t="shared" si="51"/>
        <v>500</v>
      </c>
      <c r="AH54" s="658">
        <v>450</v>
      </c>
      <c r="AI54" s="658">
        <v>550</v>
      </c>
      <c r="AJ54" s="627">
        <v>57</v>
      </c>
      <c r="AK54" s="630">
        <f t="shared" si="39"/>
        <v>285</v>
      </c>
      <c r="AL54" s="634">
        <f t="shared" si="46"/>
        <v>0</v>
      </c>
      <c r="AM54" s="659">
        <v>0</v>
      </c>
      <c r="AN54" s="659">
        <v>0</v>
      </c>
      <c r="AO54" s="659">
        <v>0</v>
      </c>
      <c r="AP54" s="638" t="e">
        <f t="shared" si="40"/>
        <v>#N/A</v>
      </c>
      <c r="AQ54" s="639" t="e">
        <f t="shared" si="41"/>
        <v>#N/A</v>
      </c>
      <c r="AR54" s="640" t="e">
        <f t="shared" si="42"/>
        <v>#N/A</v>
      </c>
      <c r="AS54" s="641" t="e">
        <f t="shared" si="43"/>
        <v>#DIV/0!</v>
      </c>
      <c r="AT54" s="642" t="e">
        <f>FaktorenBG!F$43*(1+FaktorenBG!F$56)*IF(Auswahl_Behandlung_fest&lt;5,$F54,0)</f>
        <v>#N/A</v>
      </c>
      <c r="AU54" s="642" t="e">
        <f>FaktorenBG!G$43*(1+FaktorenBG!G$56)*IF(Auswahl_Behandlung_fest&lt;5,$F54,0)</f>
        <v>#N/A</v>
      </c>
      <c r="AV54" s="642" t="e">
        <f>FaktorenBG!H$43*(1+FaktorenBG!H$56)*IF(Auswahl_Behandlung_fest&lt;5,$F54,0)</f>
        <v>#N/A</v>
      </c>
      <c r="AW54" s="643">
        <f t="shared" si="20"/>
        <v>0</v>
      </c>
      <c r="AX54" s="643" t="e">
        <f>INDEX(InputsBG!$1:$1048576,AX$2,MATCH(Substrates!$AY54,InputsBG!$38:$38,0))</f>
        <v>#N/A</v>
      </c>
      <c r="AY54" s="669" t="s">
        <v>893</v>
      </c>
      <c r="AZ54" s="661">
        <f>IF($G54&lt;0,$G54*INDEX(InputsBG!$1:$1048576,AZ$2,MATCH(Substrates!$AY54,InputsBG!$38:$38,0))/$AX54,0)</f>
        <v>0</v>
      </c>
      <c r="BA54" s="661">
        <f>IF($G54&lt;0,$G54*INDEX(InputsBG!$1:$1048576,BA$2,MATCH(Substrates!$AY54,InputsBG!$38:$38,0))/$AX54,0)</f>
        <v>0</v>
      </c>
      <c r="BB54" s="661">
        <f>IF($G54&lt;0,$G54*INDEX(InputsBG!$1:$1048576,BB$2,MATCH(Substrates!$AY54,InputsBG!$38:$38,0))/$AX54,0)</f>
        <v>0</v>
      </c>
      <c r="BC54" s="661">
        <f>IF($G54&lt;0,$G54*INDEX(InputsBG!$1:$1048576,BC$2,MATCH(Substrates!$AY54,InputsBG!$38:$38,0))/$AX54,0)</f>
        <v>0</v>
      </c>
      <c r="BD54" s="662">
        <f t="shared" si="47"/>
        <v>0</v>
      </c>
      <c r="BE54" s="645" t="e">
        <f t="shared" si="59"/>
        <v>#DIV/0!</v>
      </c>
      <c r="BF54" s="645" t="e">
        <f t="shared" si="60"/>
        <v>#DIV/0!</v>
      </c>
      <c r="BG54" s="663"/>
      <c r="BH54" s="584"/>
      <c r="BI54" s="584"/>
      <c r="BJ54" s="584"/>
      <c r="BK54" s="584"/>
      <c r="BL54" s="584"/>
      <c r="BM54" s="584"/>
      <c r="BN54" s="584"/>
      <c r="BO54" s="584"/>
      <c r="BP54" s="584"/>
      <c r="BQ54" s="584"/>
      <c r="BR54" s="584"/>
      <c r="BS54" s="584"/>
      <c r="BT54" s="584" t="e">
        <f t="shared" si="48"/>
        <v>#VALUE!</v>
      </c>
      <c r="BU54" s="584"/>
    </row>
    <row r="55" spans="1:73" s="878" customFormat="1">
      <c r="A55" s="933" t="s">
        <v>124</v>
      </c>
      <c r="B55" s="673" t="s">
        <v>448</v>
      </c>
      <c r="C55" s="201" t="s">
        <v>1547</v>
      </c>
      <c r="D55" s="625"/>
      <c r="E55" s="819" t="str">
        <f t="shared" si="57"/>
        <v>Mowing material, (general, golf courses, nature reserves, reed, etc.)</v>
      </c>
      <c r="F55" s="795">
        <v>0</v>
      </c>
      <c r="G55" s="797">
        <v>0</v>
      </c>
      <c r="H55" s="906">
        <v>0</v>
      </c>
      <c r="I55" s="906">
        <v>0</v>
      </c>
      <c r="K55" s="898"/>
      <c r="L55" s="885">
        <f t="shared" si="74"/>
        <v>0</v>
      </c>
      <c r="M55" s="899">
        <f t="shared" si="75"/>
        <v>0</v>
      </c>
      <c r="N55" s="899"/>
      <c r="O55" s="899"/>
      <c r="P55" s="899"/>
      <c r="Q55" s="899"/>
      <c r="R55" s="897" t="str">
        <f>IF(F55&gt;0,IF(G55/F55/1000&lt;AX55,INDEX(menuesBG!$1:$1048576,Warnung,sprache),""),"")</f>
        <v/>
      </c>
      <c r="S55" s="629">
        <f t="shared" si="49"/>
        <v>29.5</v>
      </c>
      <c r="T55" s="628">
        <v>22</v>
      </c>
      <c r="U55" s="628">
        <v>37</v>
      </c>
      <c r="V55" s="629">
        <f t="shared" si="50"/>
        <v>94.5</v>
      </c>
      <c r="W55" s="628">
        <v>93</v>
      </c>
      <c r="X55" s="628">
        <v>96</v>
      </c>
      <c r="Y55" s="656">
        <f t="shared" si="44"/>
        <v>2.5</v>
      </c>
      <c r="Z55" s="628">
        <v>2</v>
      </c>
      <c r="AA55" s="628">
        <v>3</v>
      </c>
      <c r="AB55" s="665">
        <f>AVERAGE(3.5,6.9)/AVERAGE(6.9,19.8)*100</f>
        <v>38.951310861423217</v>
      </c>
      <c r="AC55" s="631">
        <f t="shared" si="38"/>
        <v>1.5</v>
      </c>
      <c r="AD55" s="657">
        <v>0.6</v>
      </c>
      <c r="AE55" s="633"/>
      <c r="AF55" s="633"/>
      <c r="AG55" s="629">
        <f t="shared" si="51"/>
        <v>500</v>
      </c>
      <c r="AH55" s="658">
        <v>450</v>
      </c>
      <c r="AI55" s="658">
        <v>550</v>
      </c>
      <c r="AJ55" s="627">
        <v>57</v>
      </c>
      <c r="AK55" s="630">
        <f t="shared" si="39"/>
        <v>285</v>
      </c>
      <c r="AL55" s="634">
        <f t="shared" si="46"/>
        <v>0</v>
      </c>
      <c r="AM55" s="659">
        <v>0</v>
      </c>
      <c r="AN55" s="659">
        <v>0</v>
      </c>
      <c r="AO55" s="659">
        <v>0</v>
      </c>
      <c r="AP55" s="638" t="e">
        <f t="shared" si="40"/>
        <v>#N/A</v>
      </c>
      <c r="AQ55" s="639" t="e">
        <f t="shared" si="41"/>
        <v>#N/A</v>
      </c>
      <c r="AR55" s="640" t="e">
        <f t="shared" si="42"/>
        <v>#N/A</v>
      </c>
      <c r="AS55" s="641" t="e">
        <f t="shared" si="43"/>
        <v>#DIV/0!</v>
      </c>
      <c r="AT55" s="642" t="e">
        <f>FaktorenBG!F$43*(1+FaktorenBG!F$56)*IF(Auswahl_Behandlung_fest&lt;5,$F55,0)</f>
        <v>#N/A</v>
      </c>
      <c r="AU55" s="642" t="e">
        <f>FaktorenBG!G$43*(1+FaktorenBG!G$56)*IF(Auswahl_Behandlung_fest&lt;5,$F55,0)</f>
        <v>#N/A</v>
      </c>
      <c r="AV55" s="642" t="e">
        <f>FaktorenBG!H$43*(1+FaktorenBG!H$56)*IF(Auswahl_Behandlung_fest&lt;5,$F55,0)</f>
        <v>#N/A</v>
      </c>
      <c r="AW55" s="643">
        <f t="shared" si="20"/>
        <v>0</v>
      </c>
      <c r="AX55" s="643" t="e">
        <f>INDEX(InputsBG!$1:$1048576,AX$2,MATCH(Substrates!$AY55,InputsBG!$38:$38,0))</f>
        <v>#N/A</v>
      </c>
      <c r="AY55" s="669" t="s">
        <v>893</v>
      </c>
      <c r="AZ55" s="661">
        <f>IF($G55&lt;0,$G55*INDEX(InputsBG!$1:$1048576,AZ$2,MATCH(Substrates!$AY55,InputsBG!$38:$38,0))/$AX55,0)</f>
        <v>0</v>
      </c>
      <c r="BA55" s="661">
        <f>IF($G55&lt;0,$G55*INDEX(InputsBG!$1:$1048576,BA$2,MATCH(Substrates!$AY55,InputsBG!$38:$38,0))/$AX55,0)</f>
        <v>0</v>
      </c>
      <c r="BB55" s="661">
        <f>IF($G55&lt;0,$G55*INDEX(InputsBG!$1:$1048576,BB$2,MATCH(Substrates!$AY55,InputsBG!$38:$38,0))/$AX55,0)</f>
        <v>0</v>
      </c>
      <c r="BC55" s="661">
        <f>IF($G55&lt;0,$G55*INDEX(InputsBG!$1:$1048576,BC$2,MATCH(Substrates!$AY55,InputsBG!$38:$38,0))/$AX55,0)</f>
        <v>0</v>
      </c>
      <c r="BD55" s="662">
        <f t="shared" si="47"/>
        <v>0</v>
      </c>
      <c r="BE55" s="645" t="e">
        <f t="shared" si="59"/>
        <v>#DIV/0!</v>
      </c>
      <c r="BF55" s="645" t="e">
        <f t="shared" si="60"/>
        <v>#DIV/0!</v>
      </c>
      <c r="BG55" s="663"/>
      <c r="BH55" s="584"/>
      <c r="BI55" s="584"/>
      <c r="BJ55" s="584"/>
      <c r="BK55" s="584"/>
      <c r="BL55" s="584"/>
      <c r="BM55" s="584"/>
      <c r="BN55" s="584"/>
      <c r="BO55" s="584"/>
      <c r="BP55" s="584"/>
      <c r="BQ55" s="584"/>
      <c r="BR55" s="584"/>
      <c r="BS55" s="584"/>
      <c r="BT55" s="584" t="e">
        <f t="shared" si="48"/>
        <v>#VALUE!</v>
      </c>
      <c r="BU55" s="584"/>
    </row>
    <row r="56" spans="1:73" s="878" customFormat="1">
      <c r="A56" s="933" t="s">
        <v>100</v>
      </c>
      <c r="B56" s="673" t="s">
        <v>101</v>
      </c>
      <c r="C56" s="201" t="s">
        <v>1548</v>
      </c>
      <c r="D56" s="625"/>
      <c r="E56" s="819" t="str">
        <f t="shared" si="57"/>
        <v>Maize silage</v>
      </c>
      <c r="F56" s="795">
        <v>0</v>
      </c>
      <c r="G56" s="797">
        <v>0</v>
      </c>
      <c r="H56" s="906">
        <v>0</v>
      </c>
      <c r="I56" s="906">
        <v>0</v>
      </c>
      <c r="K56" s="898"/>
      <c r="L56" s="885">
        <f t="shared" si="74"/>
        <v>0</v>
      </c>
      <c r="M56" s="899">
        <f t="shared" si="75"/>
        <v>0</v>
      </c>
      <c r="N56" s="899"/>
      <c r="O56" s="899"/>
      <c r="P56" s="899"/>
      <c r="Q56" s="899"/>
      <c r="R56" s="897" t="str">
        <f>IF(F56&gt;0,IF(G56/F56/1000&lt;AX56,INDEX(menuesBG!$1:$1048576,Warnung,sprache),""),"")</f>
        <v/>
      </c>
      <c r="S56" s="629">
        <f t="shared" si="49"/>
        <v>30</v>
      </c>
      <c r="T56" s="628">
        <v>25</v>
      </c>
      <c r="U56" s="628">
        <v>35</v>
      </c>
      <c r="V56" s="629">
        <f t="shared" si="50"/>
        <v>91</v>
      </c>
      <c r="W56" s="628">
        <v>86</v>
      </c>
      <c r="X56" s="628">
        <v>96</v>
      </c>
      <c r="Y56" s="656">
        <f t="shared" si="44"/>
        <v>1.55</v>
      </c>
      <c r="Z56" s="671">
        <v>1.1000000000000001</v>
      </c>
      <c r="AA56" s="671">
        <v>2</v>
      </c>
      <c r="AB56" s="665">
        <f>AVERAGE(0.15,0.3)/AVERAGE(1.1,2)*100</f>
        <v>14.516129032258062</v>
      </c>
      <c r="AC56" s="631">
        <f t="shared" si="38"/>
        <v>1.0075000000000001</v>
      </c>
      <c r="AD56" s="657">
        <v>0.65</v>
      </c>
      <c r="AE56" s="633"/>
      <c r="AF56" s="633"/>
      <c r="AG56" s="629">
        <f t="shared" si="51"/>
        <v>610</v>
      </c>
      <c r="AH56" s="658">
        <v>520</v>
      </c>
      <c r="AI56" s="658">
        <v>700</v>
      </c>
      <c r="AJ56" s="627">
        <v>52</v>
      </c>
      <c r="AK56" s="630">
        <f t="shared" si="39"/>
        <v>317.2</v>
      </c>
      <c r="AL56" s="634">
        <f t="shared" si="46"/>
        <v>0</v>
      </c>
      <c r="AM56" s="659">
        <v>0</v>
      </c>
      <c r="AN56" s="659">
        <v>0</v>
      </c>
      <c r="AO56" s="659">
        <v>0</v>
      </c>
      <c r="AP56" s="638" t="e">
        <f t="shared" si="40"/>
        <v>#N/A</v>
      </c>
      <c r="AQ56" s="639" t="e">
        <f t="shared" ref="AQ56:AQ88" si="76">F56*1000*S56/100*Y56/100*AB56/100*NH3emittiert*AnteilNH3Lagerung*(1+NH3plus)*((1+Faktor_NH3_Behandlung)*Anteil_V_fest+(1+FaktorNH3GülleBehandlung)*Anteil_V_flüssig)</f>
        <v>#N/A</v>
      </c>
      <c r="AR56" s="640" t="e">
        <f t="shared" si="42"/>
        <v>#N/A</v>
      </c>
      <c r="AS56" s="641" t="e">
        <f t="shared" ref="AS56:AS88" si="77">F56*(N2O_Gülle*Anteil_V_flüssig*(1+Faktor_N2O_GülleBehandlung)+N2O_Kompost*Anteil_V_fest*(1+Faktor_N2O_Behandlung))</f>
        <v>#DIV/0!</v>
      </c>
      <c r="AT56" s="642" t="e">
        <f>FaktorenBG!F$43*(1+FaktorenBG!F$56)*IF(Auswahl_Behandlung_fest&lt;5,$F56,0)</f>
        <v>#N/A</v>
      </c>
      <c r="AU56" s="642" t="e">
        <f>FaktorenBG!G$43*(1+FaktorenBG!G$56)*IF(Auswahl_Behandlung_fest&lt;5,$F56,0)</f>
        <v>#N/A</v>
      </c>
      <c r="AV56" s="642" t="e">
        <f>FaktorenBG!H$43*(1+FaktorenBG!H$56)*IF(Auswahl_Behandlung_fest&lt;5,$F56,0)</f>
        <v>#N/A</v>
      </c>
      <c r="AW56" s="643">
        <f t="shared" si="20"/>
        <v>0</v>
      </c>
      <c r="AX56" s="643" t="e">
        <f>INDEX(InputsBG!$1:$1048576,AX$2,MATCH(Substrates!$AY56,InputsBG!$38:$38,0))</f>
        <v>#N/A</v>
      </c>
      <c r="AY56" s="626" t="s">
        <v>1047</v>
      </c>
      <c r="AZ56" s="661">
        <f>IF($G56&lt;0,$G56*INDEX(InputsBG!$1:$1048576,AZ$2,MATCH(Substrates!$AY56,InputsBG!$38:$38,0))/$AX56,0)</f>
        <v>0</v>
      </c>
      <c r="BA56" s="661">
        <f>IF($G56&lt;0,$G56*INDEX(InputsBG!$1:$1048576,BA$2,MATCH(Substrates!$AY56,InputsBG!$38:$38,0))/$AX56,0)</f>
        <v>0</v>
      </c>
      <c r="BB56" s="661">
        <f>IF($G56&lt;0,$G56*INDEX(InputsBG!$1:$1048576,BB$2,MATCH(Substrates!$AY56,InputsBG!$38:$38,0))/$AX56,0)</f>
        <v>0</v>
      </c>
      <c r="BC56" s="661">
        <f>IF($G56&lt;0,$G56*INDEX(InputsBG!$1:$1048576,BC$2,MATCH(Substrates!$AY56,InputsBG!$38:$38,0))/$AX56,0)</f>
        <v>0</v>
      </c>
      <c r="BD56" s="662">
        <f t="shared" si="47"/>
        <v>0</v>
      </c>
      <c r="BE56" s="645" t="e">
        <f t="shared" si="59"/>
        <v>#DIV/0!</v>
      </c>
      <c r="BF56" s="645" t="e">
        <f t="shared" si="60"/>
        <v>#DIV/0!</v>
      </c>
      <c r="BG56" s="663"/>
      <c r="BH56" s="584"/>
      <c r="BI56" s="584"/>
      <c r="BJ56" s="584"/>
      <c r="BK56" s="584"/>
      <c r="BL56" s="584"/>
      <c r="BM56" s="584"/>
      <c r="BN56" s="584"/>
      <c r="BO56" s="584"/>
      <c r="BP56" s="584"/>
      <c r="BQ56" s="584"/>
      <c r="BR56" s="584"/>
      <c r="BS56" s="584"/>
      <c r="BT56" s="584" t="str">
        <f t="shared" si="48"/>
        <v>Silage maize IP, at farm</v>
      </c>
      <c r="BU56" s="584"/>
    </row>
    <row r="57" spans="1:73" s="878" customFormat="1">
      <c r="A57" s="673" t="s">
        <v>93</v>
      </c>
      <c r="B57" s="673" t="s">
        <v>94</v>
      </c>
      <c r="C57" s="201" t="s">
        <v>1549</v>
      </c>
      <c r="D57" s="625"/>
      <c r="E57" s="819" t="str">
        <f t="shared" si="57"/>
        <v>Maize straw</v>
      </c>
      <c r="F57" s="795">
        <v>0</v>
      </c>
      <c r="G57" s="797">
        <v>0</v>
      </c>
      <c r="H57" s="906">
        <v>0</v>
      </c>
      <c r="I57" s="906">
        <v>0</v>
      </c>
      <c r="K57" s="898"/>
      <c r="L57" s="885">
        <f t="shared" si="74"/>
        <v>0</v>
      </c>
      <c r="M57" s="899">
        <f t="shared" si="75"/>
        <v>0</v>
      </c>
      <c r="N57" s="899"/>
      <c r="O57" s="899"/>
      <c r="P57" s="899"/>
      <c r="Q57" s="899"/>
      <c r="R57" s="897" t="str">
        <f>IF(F57&gt;0,IF(G57/F57/1000&lt;AX57,INDEX(menuesBG!$1:$1048576,Warnung,sprache),""),"")</f>
        <v/>
      </c>
      <c r="S57" s="629">
        <f t="shared" si="49"/>
        <v>86</v>
      </c>
      <c r="T57" s="628">
        <v>86</v>
      </c>
      <c r="U57" s="628">
        <v>86</v>
      </c>
      <c r="V57" s="629">
        <f t="shared" si="50"/>
        <v>72.5</v>
      </c>
      <c r="W57" s="628">
        <v>70</v>
      </c>
      <c r="X57" s="628">
        <v>75</v>
      </c>
      <c r="Y57" s="656">
        <f t="shared" si="44"/>
        <v>1.2</v>
      </c>
      <c r="Z57" s="628">
        <v>1.2</v>
      </c>
      <c r="AA57" s="628">
        <v>1.2</v>
      </c>
      <c r="AB57" s="654">
        <v>14.5</v>
      </c>
      <c r="AC57" s="631">
        <f t="shared" si="38"/>
        <v>0.66</v>
      </c>
      <c r="AD57" s="657">
        <v>0.55000000000000004</v>
      </c>
      <c r="AE57" s="633"/>
      <c r="AF57" s="633"/>
      <c r="AG57" s="629">
        <f t="shared" si="51"/>
        <v>475</v>
      </c>
      <c r="AH57" s="658">
        <v>450</v>
      </c>
      <c r="AI57" s="658">
        <v>500</v>
      </c>
      <c r="AJ57" s="627">
        <v>57</v>
      </c>
      <c r="AK57" s="630">
        <f t="shared" si="39"/>
        <v>270.75</v>
      </c>
      <c r="AL57" s="634">
        <f t="shared" si="46"/>
        <v>0</v>
      </c>
      <c r="AM57" s="659">
        <v>0</v>
      </c>
      <c r="AN57" s="659">
        <v>0</v>
      </c>
      <c r="AO57" s="659">
        <v>0</v>
      </c>
      <c r="AP57" s="638" t="e">
        <f t="shared" ref="AP57:AP90" si="78">$M57*CH4_Gehalt*CH4_nichtabgedeckt*(1+Faktor_CH4_flüssig)*GärrestFlüssigMenge/(GärrestFestMenge+GärrestFlüssigMenge)</f>
        <v>#N/A</v>
      </c>
      <c r="AQ57" s="639" t="e">
        <f t="shared" si="76"/>
        <v>#N/A</v>
      </c>
      <c r="AR57" s="640" t="e">
        <f t="shared" ref="AR57:AR90" si="79">IF(AR$137,F57*1000*S57/100*Y57/100*AB57/100*NH3emittiert*AR$2*(1+NH3plusAusbringung)*((1+Faktor_NH3fest_aus)*Anteil_V_fest+(1+Faktor_NH3_Ausbringung)*Anteil_V_flüssig),0)</f>
        <v>#N/A</v>
      </c>
      <c r="AS57" s="641" t="e">
        <f t="shared" si="77"/>
        <v>#DIV/0!</v>
      </c>
      <c r="AT57" s="642" t="e">
        <f>FaktorenBG!F$43*(1+FaktorenBG!F$56)*IF(Auswahl_Behandlung_fest&lt;5,$F57,0)</f>
        <v>#N/A</v>
      </c>
      <c r="AU57" s="642" t="e">
        <f>FaktorenBG!G$43*(1+FaktorenBG!G$56)*IF(Auswahl_Behandlung_fest&lt;5,$F57,0)</f>
        <v>#N/A</v>
      </c>
      <c r="AV57" s="642" t="e">
        <f>FaktorenBG!H$43*(1+FaktorenBG!H$56)*IF(Auswahl_Behandlung_fest&lt;5,$F57,0)</f>
        <v>#N/A</v>
      </c>
      <c r="AW57" s="643">
        <f t="shared" si="20"/>
        <v>0</v>
      </c>
      <c r="AX57" s="643" t="e">
        <f>INDEX(InputsBG!$1:$1048576,AX$2,MATCH(Substrates!$AY57,InputsBG!$38:$38,0))</f>
        <v>#N/A</v>
      </c>
      <c r="AY57" s="626" t="s">
        <v>1047</v>
      </c>
      <c r="AZ57" s="661">
        <f>IF($G57&lt;0,$G57*INDEX(InputsBG!$1:$1048576,AZ$2,MATCH(Substrates!$AY57,InputsBG!$38:$38,0))/$AX57,0)</f>
        <v>0</v>
      </c>
      <c r="BA57" s="661">
        <f>IF($G57&lt;0,$G57*INDEX(InputsBG!$1:$1048576,BA$2,MATCH(Substrates!$AY57,InputsBG!$38:$38,0))/$AX57,0)</f>
        <v>0</v>
      </c>
      <c r="BB57" s="661">
        <f>IF($G57&lt;0,$G57*INDEX(InputsBG!$1:$1048576,BB$2,MATCH(Substrates!$AY57,InputsBG!$38:$38,0))/$AX57,0)</f>
        <v>0</v>
      </c>
      <c r="BC57" s="661">
        <f>IF($G57&lt;0,$G57*INDEX(InputsBG!$1:$1048576,BC$2,MATCH(Substrates!$AY57,InputsBG!$38:$38,0))/$AX57,0)</f>
        <v>0</v>
      </c>
      <c r="BD57" s="662">
        <f t="shared" si="47"/>
        <v>0</v>
      </c>
      <c r="BE57" s="645" t="e">
        <f t="shared" si="59"/>
        <v>#DIV/0!</v>
      </c>
      <c r="BF57" s="645" t="e">
        <f t="shared" si="60"/>
        <v>#DIV/0!</v>
      </c>
      <c r="BG57" s="663"/>
      <c r="BH57" s="584"/>
      <c r="BI57" s="584"/>
      <c r="BJ57" s="584"/>
      <c r="BK57" s="584"/>
      <c r="BL57" s="584"/>
      <c r="BM57" s="584"/>
      <c r="BN57" s="584"/>
      <c r="BO57" s="584"/>
      <c r="BP57" s="584"/>
      <c r="BQ57" s="584"/>
      <c r="BR57" s="584"/>
      <c r="BS57" s="584"/>
      <c r="BT57" s="584" t="str">
        <f t="shared" si="48"/>
        <v>Silage maize IP, at farm</v>
      </c>
      <c r="BU57" s="584"/>
    </row>
    <row r="58" spans="1:73" s="878" customFormat="1">
      <c r="A58" s="673" t="s">
        <v>98</v>
      </c>
      <c r="B58" s="673" t="s">
        <v>457</v>
      </c>
      <c r="C58" s="201" t="s">
        <v>1550</v>
      </c>
      <c r="D58" s="625"/>
      <c r="E58" s="819" t="str">
        <f t="shared" si="57"/>
        <v>Mass- and content beet</v>
      </c>
      <c r="F58" s="795">
        <v>0</v>
      </c>
      <c r="G58" s="797">
        <v>0</v>
      </c>
      <c r="H58" s="906">
        <v>0</v>
      </c>
      <c r="I58" s="906">
        <v>0</v>
      </c>
      <c r="K58" s="898"/>
      <c r="L58" s="885">
        <f t="shared" si="74"/>
        <v>0</v>
      </c>
      <c r="M58" s="899">
        <f t="shared" si="75"/>
        <v>0</v>
      </c>
      <c r="N58" s="899"/>
      <c r="O58" s="899"/>
      <c r="P58" s="899"/>
      <c r="Q58" s="899"/>
      <c r="R58" s="897" t="str">
        <f>IF(F58&gt;0,IF(G58/F58/1000&lt;AX58,INDEX(menuesBG!$1:$1048576,Warnung,sprache),""),"")</f>
        <v/>
      </c>
      <c r="S58" s="629">
        <f t="shared" si="49"/>
        <v>12</v>
      </c>
      <c r="T58" s="628">
        <v>12</v>
      </c>
      <c r="U58" s="628">
        <v>12</v>
      </c>
      <c r="V58" s="629">
        <f t="shared" si="50"/>
        <v>80</v>
      </c>
      <c r="W58" s="628">
        <v>75</v>
      </c>
      <c r="X58" s="628">
        <v>85</v>
      </c>
      <c r="Y58" s="656">
        <f t="shared" si="44"/>
        <v>1.9</v>
      </c>
      <c r="Z58" s="671">
        <v>1.9</v>
      </c>
      <c r="AA58" s="671">
        <v>1.9</v>
      </c>
      <c r="AB58" s="665">
        <f>AVERAGE(0.3,0.4)/AVERAGE(1.9)*100</f>
        <v>18.421052631578945</v>
      </c>
      <c r="AC58" s="631">
        <f t="shared" si="38"/>
        <v>1.2349999999999999</v>
      </c>
      <c r="AD58" s="657">
        <v>0.65</v>
      </c>
      <c r="AE58" s="633"/>
      <c r="AF58" s="633"/>
      <c r="AG58" s="629">
        <f t="shared" si="51"/>
        <v>735</v>
      </c>
      <c r="AH58" s="658">
        <v>620</v>
      </c>
      <c r="AI58" s="658">
        <v>850</v>
      </c>
      <c r="AJ58" s="627">
        <v>51</v>
      </c>
      <c r="AK58" s="630">
        <f t="shared" si="39"/>
        <v>374.85</v>
      </c>
      <c r="AL58" s="634">
        <f t="shared" si="46"/>
        <v>0</v>
      </c>
      <c r="AM58" s="659">
        <v>0</v>
      </c>
      <c r="AN58" s="659">
        <v>0</v>
      </c>
      <c r="AO58" s="659">
        <v>0</v>
      </c>
      <c r="AP58" s="638" t="e">
        <f t="shared" si="78"/>
        <v>#N/A</v>
      </c>
      <c r="AQ58" s="639" t="e">
        <f t="shared" si="76"/>
        <v>#N/A</v>
      </c>
      <c r="AR58" s="640" t="e">
        <f t="shared" si="79"/>
        <v>#N/A</v>
      </c>
      <c r="AS58" s="641" t="e">
        <f t="shared" si="77"/>
        <v>#DIV/0!</v>
      </c>
      <c r="AT58" s="642" t="e">
        <f>FaktorenBG!F$43*(1+FaktorenBG!F$56)*IF(Auswahl_Behandlung_fest&lt;5,$F58,0)</f>
        <v>#N/A</v>
      </c>
      <c r="AU58" s="642" t="e">
        <f>FaktorenBG!G$43*(1+FaktorenBG!G$56)*IF(Auswahl_Behandlung_fest&lt;5,$F58,0)</f>
        <v>#N/A</v>
      </c>
      <c r="AV58" s="642" t="e">
        <f>FaktorenBG!H$43*(1+FaktorenBG!H$56)*IF(Auswahl_Behandlung_fest&lt;5,$F58,0)</f>
        <v>#N/A</v>
      </c>
      <c r="AW58" s="643">
        <f t="shared" si="20"/>
        <v>0</v>
      </c>
      <c r="AX58" s="643" t="e">
        <f>INDEX(InputsBG!$1:$1048576,AX$2,MATCH(Substrates!$AY58,InputsBG!$38:$38,0))</f>
        <v>#N/A</v>
      </c>
      <c r="AY58" s="672" t="s">
        <v>1042</v>
      </c>
      <c r="AZ58" s="661">
        <f>IF($G58&lt;0,$G58*INDEX(InputsBG!$1:$1048576,AZ$2,MATCH(Substrates!$AY58,InputsBG!$38:$38,0))/$AX58,0)</f>
        <v>0</v>
      </c>
      <c r="BA58" s="661">
        <f>IF($G58&lt;0,$G58*INDEX(InputsBG!$1:$1048576,BA$2,MATCH(Substrates!$AY58,InputsBG!$38:$38,0))/$AX58,0)</f>
        <v>0</v>
      </c>
      <c r="BB58" s="661">
        <f>IF($G58&lt;0,$G58*INDEX(InputsBG!$1:$1048576,BB$2,MATCH(Substrates!$AY58,InputsBG!$38:$38,0))/$AX58,0)</f>
        <v>0</v>
      </c>
      <c r="BC58" s="661">
        <f>IF($G58&lt;0,$G58*INDEX(InputsBG!$1:$1048576,BC$2,MATCH(Substrates!$AY58,InputsBG!$38:$38,0))/$AX58,0)</f>
        <v>0</v>
      </c>
      <c r="BD58" s="662">
        <f t="shared" si="47"/>
        <v>0</v>
      </c>
      <c r="BE58" s="645" t="e">
        <f t="shared" si="59"/>
        <v>#DIV/0!</v>
      </c>
      <c r="BF58" s="645" t="e">
        <f t="shared" si="60"/>
        <v>#DIV/0!</v>
      </c>
      <c r="BG58" s="663"/>
      <c r="BH58" s="584"/>
      <c r="BI58" s="584"/>
      <c r="BJ58" s="584"/>
      <c r="BK58" s="584"/>
      <c r="BL58" s="584"/>
      <c r="BM58" s="584"/>
      <c r="BN58" s="584"/>
      <c r="BO58" s="584"/>
      <c r="BP58" s="584"/>
      <c r="BQ58" s="584"/>
      <c r="BR58" s="584"/>
      <c r="BS58" s="584"/>
      <c r="BT58" s="584" t="str">
        <f t="shared" si="48"/>
        <v>sugar beets IP, at farm</v>
      </c>
      <c r="BU58" s="584"/>
    </row>
    <row r="59" spans="1:73" s="878" customFormat="1">
      <c r="A59" s="933" t="s">
        <v>137</v>
      </c>
      <c r="B59" s="673" t="s">
        <v>1617</v>
      </c>
      <c r="C59" s="201" t="s">
        <v>1551</v>
      </c>
      <c r="D59" s="625"/>
      <c r="E59" s="819" t="str">
        <f t="shared" si="57"/>
        <v>Material from washing, cleaning, peeling, centrifuging and separation processes (vegetable)</v>
      </c>
      <c r="F59" s="795">
        <v>0</v>
      </c>
      <c r="G59" s="797">
        <v>0</v>
      </c>
      <c r="H59" s="906">
        <v>0</v>
      </c>
      <c r="I59" s="906">
        <v>0</v>
      </c>
      <c r="K59" s="898"/>
      <c r="L59" s="885">
        <f t="shared" si="74"/>
        <v>0</v>
      </c>
      <c r="M59" s="899">
        <f t="shared" si="75"/>
        <v>0</v>
      </c>
      <c r="N59" s="899"/>
      <c r="O59" s="899"/>
      <c r="P59" s="899"/>
      <c r="Q59" s="899"/>
      <c r="R59" s="897" t="str">
        <f>IF(F59&gt;0,IF(G59/F59/1000&lt;AX59,INDEX(menuesBG!$1:$1048576,Warnung,sprache),""),"")</f>
        <v/>
      </c>
      <c r="S59" s="629">
        <f t="shared" si="49"/>
        <v>30.7</v>
      </c>
      <c r="T59" s="668">
        <f>T$138</f>
        <v>30.7</v>
      </c>
      <c r="U59" s="668">
        <f>U$138</f>
        <v>30.7</v>
      </c>
      <c r="V59" s="629">
        <f>(W59+X59)/2</f>
        <v>73.900000000000006</v>
      </c>
      <c r="W59" s="668">
        <f>W$138</f>
        <v>73.900000000000006</v>
      </c>
      <c r="X59" s="668">
        <f>X$138</f>
        <v>73.900000000000006</v>
      </c>
      <c r="Y59" s="656">
        <f t="shared" si="44"/>
        <v>2.9930555555555554</v>
      </c>
      <c r="Z59" s="668">
        <f>Z$138</f>
        <v>2.3277777777777775</v>
      </c>
      <c r="AA59" s="668">
        <f>AA$138</f>
        <v>3.6583333333333337</v>
      </c>
      <c r="AB59" s="665">
        <f>AVERAGE(0.6,0.8)/AVERAGE(7,8)*100</f>
        <v>9.3333333333333321</v>
      </c>
      <c r="AC59" s="631">
        <f>AD59*Y59</f>
        <v>1.8457175925925919</v>
      </c>
      <c r="AD59" s="666">
        <f>AD$138</f>
        <v>0.61666666666666647</v>
      </c>
      <c r="AE59" s="667">
        <f>AE$138</f>
        <v>45.65</v>
      </c>
      <c r="AF59" s="667">
        <f>AF$138</f>
        <v>50.55</v>
      </c>
      <c r="AG59" s="629">
        <f>(AH59+AI59)/2</f>
        <v>492</v>
      </c>
      <c r="AH59" s="668">
        <f>AH$138</f>
        <v>376</v>
      </c>
      <c r="AI59" s="668">
        <f>AI$138</f>
        <v>608</v>
      </c>
      <c r="AJ59" s="627">
        <v>57</v>
      </c>
      <c r="AK59" s="630">
        <f t="shared" si="39"/>
        <v>280.44</v>
      </c>
      <c r="AL59" s="634">
        <f t="shared" si="46"/>
        <v>0</v>
      </c>
      <c r="AM59" s="659">
        <v>0</v>
      </c>
      <c r="AN59" s="659">
        <v>0</v>
      </c>
      <c r="AO59" s="659">
        <v>0</v>
      </c>
      <c r="AP59" s="638" t="e">
        <f t="shared" si="78"/>
        <v>#N/A</v>
      </c>
      <c r="AQ59" s="639" t="e">
        <f t="shared" si="76"/>
        <v>#N/A</v>
      </c>
      <c r="AR59" s="640" t="e">
        <f t="shared" si="79"/>
        <v>#N/A</v>
      </c>
      <c r="AS59" s="641" t="e">
        <f t="shared" si="77"/>
        <v>#DIV/0!</v>
      </c>
      <c r="AT59" s="642" t="e">
        <f>FaktorenBG!F$43*(1+FaktorenBG!F$56)*IF(Auswahl_Behandlung_fest&lt;5,$F59,0)</f>
        <v>#N/A</v>
      </c>
      <c r="AU59" s="642" t="e">
        <f>FaktorenBG!G$43*(1+FaktorenBG!G$56)*IF(Auswahl_Behandlung_fest&lt;5,$F59,0)</f>
        <v>#N/A</v>
      </c>
      <c r="AV59" s="642" t="e">
        <f>FaktorenBG!H$43*(1+FaktorenBG!H$56)*IF(Auswahl_Behandlung_fest&lt;5,$F59,0)</f>
        <v>#N/A</v>
      </c>
      <c r="AW59" s="643">
        <f t="shared" si="20"/>
        <v>0</v>
      </c>
      <c r="AX59" s="643" t="e">
        <f>INDEX(InputsBG!$1:$1048576,AX$2,MATCH(Substrates!$AY59,InputsBG!$38:$38,0))</f>
        <v>#N/A</v>
      </c>
      <c r="AY59" s="660" t="s">
        <v>1763</v>
      </c>
      <c r="AZ59" s="661">
        <f>IF($G59&lt;0,$G59*INDEX(InputsBG!$1:$1048576,AZ$2,MATCH(Substrates!$AY59,InputsBG!$38:$38,0))/$AX59,0)</f>
        <v>0</v>
      </c>
      <c r="BA59" s="661">
        <f>IF($G59&lt;0,$G59*INDEX(InputsBG!$1:$1048576,BA$2,MATCH(Substrates!$AY59,InputsBG!$38:$38,0))/$AX59,0)</f>
        <v>0</v>
      </c>
      <c r="BB59" s="661">
        <f>IF($G59&lt;0,$G59*INDEX(InputsBG!$1:$1048576,BB$2,MATCH(Substrates!$AY59,InputsBG!$38:$38,0))/$AX59,0)</f>
        <v>0</v>
      </c>
      <c r="BC59" s="661">
        <f>IF($G59&lt;0,$G59*INDEX(InputsBG!$1:$1048576,BC$2,MATCH(Substrates!$AY59,InputsBG!$38:$38,0))/$AX59,0)</f>
        <v>0</v>
      </c>
      <c r="BD59" s="662">
        <f t="shared" si="47"/>
        <v>0</v>
      </c>
      <c r="BE59" s="645" t="e">
        <f t="shared" si="59"/>
        <v>#DIV/0!</v>
      </c>
      <c r="BF59" s="645" t="e">
        <f t="shared" si="60"/>
        <v>#DIV/0!</v>
      </c>
      <c r="BG59" s="663"/>
      <c r="BH59" s="584"/>
      <c r="BI59" s="584"/>
      <c r="BJ59" s="584"/>
      <c r="BK59" s="584"/>
      <c r="BL59" s="584"/>
      <c r="BM59" s="584"/>
      <c r="BN59" s="584"/>
      <c r="BO59" s="584"/>
      <c r="BP59" s="584"/>
      <c r="BQ59" s="584"/>
      <c r="BR59" s="584"/>
      <c r="BS59" s="584"/>
      <c r="BT59" s="584" t="str">
        <f t="shared" si="48"/>
        <v>vegetables mean, IP, at farm</v>
      </c>
      <c r="BU59" s="584"/>
    </row>
    <row r="60" spans="1:73" s="878" customFormat="1">
      <c r="A60" s="933" t="s">
        <v>105</v>
      </c>
      <c r="B60" s="673" t="s">
        <v>449</v>
      </c>
      <c r="C60" s="201" t="s">
        <v>1552</v>
      </c>
      <c r="D60" s="625"/>
      <c r="E60" s="819" t="str">
        <f t="shared" si="57"/>
        <v>Molasses</v>
      </c>
      <c r="F60" s="795">
        <v>0</v>
      </c>
      <c r="G60" s="797">
        <v>0</v>
      </c>
      <c r="H60" s="906">
        <v>0</v>
      </c>
      <c r="I60" s="906">
        <v>0</v>
      </c>
      <c r="K60" s="898"/>
      <c r="L60" s="885">
        <f t="shared" si="74"/>
        <v>0</v>
      </c>
      <c r="M60" s="899">
        <f t="shared" si="75"/>
        <v>0</v>
      </c>
      <c r="N60" s="899"/>
      <c r="O60" s="899"/>
      <c r="P60" s="899"/>
      <c r="Q60" s="899"/>
      <c r="R60" s="897" t="str">
        <f>IF(F60&gt;0,IF(G60/F60/1000&lt;AX60,INDEX(menuesBG!$1:$1048576,Warnung,sprache),""),"")</f>
        <v/>
      </c>
      <c r="S60" s="629">
        <f t="shared" si="49"/>
        <v>85</v>
      </c>
      <c r="T60" s="628">
        <v>80</v>
      </c>
      <c r="U60" s="628">
        <v>90</v>
      </c>
      <c r="V60" s="629">
        <f t="shared" si="50"/>
        <v>90</v>
      </c>
      <c r="W60" s="628">
        <v>85</v>
      </c>
      <c r="X60" s="628">
        <v>95</v>
      </c>
      <c r="Y60" s="656">
        <f t="shared" si="44"/>
        <v>1.5</v>
      </c>
      <c r="Z60" s="628">
        <v>1.5</v>
      </c>
      <c r="AA60" s="628">
        <v>1.5</v>
      </c>
      <c r="AB60" s="654">
        <v>13</v>
      </c>
      <c r="AC60" s="631">
        <f t="shared" si="38"/>
        <v>0.89999999999999991</v>
      </c>
      <c r="AD60" s="657">
        <v>0.6</v>
      </c>
      <c r="AE60" s="633"/>
      <c r="AF60" s="633"/>
      <c r="AG60" s="629">
        <f t="shared" si="51"/>
        <v>549.01960784313724</v>
      </c>
      <c r="AH60" s="677">
        <f>1/S60/V60*10000*350</f>
        <v>457.51633986928096</v>
      </c>
      <c r="AI60" s="677">
        <f>1/S60/V60*10000*490</f>
        <v>640.52287581699341</v>
      </c>
      <c r="AJ60" s="627">
        <v>55</v>
      </c>
      <c r="AK60" s="630">
        <f t="shared" si="39"/>
        <v>301.96078431372547</v>
      </c>
      <c r="AL60" s="634">
        <f t="shared" si="46"/>
        <v>0</v>
      </c>
      <c r="AM60" s="659">
        <v>0</v>
      </c>
      <c r="AN60" s="659">
        <v>0</v>
      </c>
      <c r="AO60" s="659">
        <v>0</v>
      </c>
      <c r="AP60" s="638" t="e">
        <f t="shared" si="78"/>
        <v>#N/A</v>
      </c>
      <c r="AQ60" s="639" t="e">
        <f t="shared" si="76"/>
        <v>#N/A</v>
      </c>
      <c r="AR60" s="640" t="e">
        <f t="shared" si="79"/>
        <v>#N/A</v>
      </c>
      <c r="AS60" s="641" t="e">
        <f t="shared" si="77"/>
        <v>#DIV/0!</v>
      </c>
      <c r="AT60" s="642" t="e">
        <f>FaktorenBG!F$43*(1+FaktorenBG!F$56)*IF(Auswahl_Behandlung_fest&lt;5,$F60,0)</f>
        <v>#N/A</v>
      </c>
      <c r="AU60" s="642" t="e">
        <f>FaktorenBG!G$43*(1+FaktorenBG!G$56)*IF(Auswahl_Behandlung_fest&lt;5,$F60,0)</f>
        <v>#N/A</v>
      </c>
      <c r="AV60" s="642" t="e">
        <f>FaktorenBG!H$43*(1+FaktorenBG!H$56)*IF(Auswahl_Behandlung_fest&lt;5,$F60,0)</f>
        <v>#N/A</v>
      </c>
      <c r="AW60" s="643">
        <f t="shared" si="20"/>
        <v>0</v>
      </c>
      <c r="AX60" s="643" t="e">
        <f>INDEX(InputsBG!$1:$1048576,AX$2,MATCH(Substrates!$AY60,InputsBG!$38:$38,0))</f>
        <v>#N/A</v>
      </c>
      <c r="AY60" s="626" t="s">
        <v>750</v>
      </c>
      <c r="AZ60" s="661">
        <f>IF($G60&lt;0,$G60*INDEX(InputsBG!$1:$1048576,AZ$2,MATCH(Substrates!$AY60,InputsBG!$38:$38,0))/$AX60,0)</f>
        <v>0</v>
      </c>
      <c r="BA60" s="661">
        <f>IF($G60&lt;0,$G60*INDEX(InputsBG!$1:$1048576,BA$2,MATCH(Substrates!$AY60,InputsBG!$38:$38,0))/$AX60,0)</f>
        <v>0</v>
      </c>
      <c r="BB60" s="661">
        <f>IF($G60&lt;0,$G60*INDEX(InputsBG!$1:$1048576,BB$2,MATCH(Substrates!$AY60,InputsBG!$38:$38,0))/$AX60,0)</f>
        <v>0</v>
      </c>
      <c r="BC60" s="661">
        <f>IF($G60&lt;0,$G60*INDEX(InputsBG!$1:$1048576,BC$2,MATCH(Substrates!$AY60,InputsBG!$38:$38,0))/$AX60,0)</f>
        <v>0</v>
      </c>
      <c r="BD60" s="662">
        <f t="shared" si="47"/>
        <v>0</v>
      </c>
      <c r="BE60" s="645" t="e">
        <f t="shared" si="59"/>
        <v>#DIV/0!</v>
      </c>
      <c r="BF60" s="645" t="e">
        <f t="shared" si="60"/>
        <v>#DIV/0!</v>
      </c>
      <c r="BG60" s="663"/>
      <c r="BH60" s="584"/>
      <c r="BI60" s="584"/>
      <c r="BJ60" s="584"/>
      <c r="BK60" s="584"/>
      <c r="BL60" s="584"/>
      <c r="BM60" s="584"/>
      <c r="BN60" s="584"/>
      <c r="BO60" s="584"/>
      <c r="BP60" s="584"/>
      <c r="BQ60" s="584"/>
      <c r="BR60" s="584"/>
      <c r="BS60" s="584"/>
      <c r="BT60" s="584" t="str">
        <f t="shared" si="48"/>
        <v>Molasses, from sugar beet, at sugar refinery</v>
      </c>
      <c r="BU60" s="584"/>
    </row>
    <row r="61" spans="1:73" s="878" customFormat="1">
      <c r="A61" s="673" t="s">
        <v>1620</v>
      </c>
      <c r="B61" s="673" t="s">
        <v>450</v>
      </c>
      <c r="C61" s="201" t="s">
        <v>1553</v>
      </c>
      <c r="D61" s="625"/>
      <c r="E61" s="819" t="str">
        <f t="shared" si="57"/>
        <v>Molasses pulp</v>
      </c>
      <c r="F61" s="795">
        <v>0</v>
      </c>
      <c r="G61" s="797">
        <v>0</v>
      </c>
      <c r="H61" s="906">
        <v>0</v>
      </c>
      <c r="I61" s="906">
        <v>0</v>
      </c>
      <c r="K61" s="898"/>
      <c r="L61" s="885">
        <f t="shared" si="74"/>
        <v>0</v>
      </c>
      <c r="M61" s="899">
        <f t="shared" si="75"/>
        <v>0</v>
      </c>
      <c r="N61" s="899"/>
      <c r="O61" s="899"/>
      <c r="P61" s="899"/>
      <c r="Q61" s="899"/>
      <c r="R61" s="897" t="str">
        <f>IF(F61&gt;0,IF(G61/F61/1000&lt;AX61,INDEX(menuesBG!$1:$1048576,Warnung,sprache),""),"")</f>
        <v/>
      </c>
      <c r="S61" s="629">
        <f t="shared" si="49"/>
        <v>10.5</v>
      </c>
      <c r="T61" s="628">
        <v>10</v>
      </c>
      <c r="U61" s="628">
        <v>11</v>
      </c>
      <c r="V61" s="629">
        <f t="shared" si="50"/>
        <v>72.5</v>
      </c>
      <c r="W61" s="628">
        <v>70</v>
      </c>
      <c r="X61" s="628">
        <v>75</v>
      </c>
      <c r="Y61" s="656">
        <f t="shared" si="44"/>
        <v>1.5</v>
      </c>
      <c r="Z61" s="628">
        <v>1.5</v>
      </c>
      <c r="AA61" s="628">
        <v>1.5</v>
      </c>
      <c r="AB61" s="654">
        <v>13</v>
      </c>
      <c r="AC61" s="631">
        <f t="shared" si="38"/>
        <v>0.89999999999999991</v>
      </c>
      <c r="AD61" s="657">
        <v>0.6</v>
      </c>
      <c r="AE61" s="633"/>
      <c r="AF61" s="633"/>
      <c r="AG61" s="629">
        <f t="shared" si="51"/>
        <v>475</v>
      </c>
      <c r="AH61" s="658">
        <v>400</v>
      </c>
      <c r="AI61" s="658">
        <v>550</v>
      </c>
      <c r="AJ61" s="627">
        <v>55</v>
      </c>
      <c r="AK61" s="630">
        <f t="shared" si="39"/>
        <v>261.25</v>
      </c>
      <c r="AL61" s="634">
        <f t="shared" si="46"/>
        <v>0</v>
      </c>
      <c r="AM61" s="659">
        <v>0</v>
      </c>
      <c r="AN61" s="659">
        <v>0</v>
      </c>
      <c r="AO61" s="659">
        <v>0</v>
      </c>
      <c r="AP61" s="638" t="e">
        <f t="shared" si="78"/>
        <v>#N/A</v>
      </c>
      <c r="AQ61" s="639" t="e">
        <f t="shared" si="76"/>
        <v>#N/A</v>
      </c>
      <c r="AR61" s="640" t="e">
        <f t="shared" si="79"/>
        <v>#N/A</v>
      </c>
      <c r="AS61" s="641" t="e">
        <f t="shared" si="77"/>
        <v>#DIV/0!</v>
      </c>
      <c r="AT61" s="642" t="e">
        <f>FaktorenBG!F$43*(1+FaktorenBG!F$56)*IF(Auswahl_Behandlung_fest&lt;5,$F61,0)</f>
        <v>#N/A</v>
      </c>
      <c r="AU61" s="642" t="e">
        <f>FaktorenBG!G$43*(1+FaktorenBG!G$56)*IF(Auswahl_Behandlung_fest&lt;5,$F61,0)</f>
        <v>#N/A</v>
      </c>
      <c r="AV61" s="642" t="e">
        <f>FaktorenBG!H$43*(1+FaktorenBG!H$56)*IF(Auswahl_Behandlung_fest&lt;5,$F61,0)</f>
        <v>#N/A</v>
      </c>
      <c r="AW61" s="643">
        <f t="shared" si="20"/>
        <v>0</v>
      </c>
      <c r="AX61" s="643" t="e">
        <f>INDEX(InputsBG!$1:$1048576,AX$2,MATCH(Substrates!$AY61,InputsBG!$38:$38,0))</f>
        <v>#N/A</v>
      </c>
      <c r="AY61" s="626" t="s">
        <v>750</v>
      </c>
      <c r="AZ61" s="661">
        <f>IF($G61&lt;0,$G61*INDEX(InputsBG!$1:$1048576,AZ$2,MATCH(Substrates!$AY61,InputsBG!$38:$38,0))/$AX61,0)</f>
        <v>0</v>
      </c>
      <c r="BA61" s="661">
        <f>IF($G61&lt;0,$G61*INDEX(InputsBG!$1:$1048576,BA$2,MATCH(Substrates!$AY61,InputsBG!$38:$38,0))/$AX61,0)</f>
        <v>0</v>
      </c>
      <c r="BB61" s="661">
        <f>IF($G61&lt;0,$G61*INDEX(InputsBG!$1:$1048576,BB$2,MATCH(Substrates!$AY61,InputsBG!$38:$38,0))/$AX61,0)</f>
        <v>0</v>
      </c>
      <c r="BC61" s="661">
        <f>IF($G61&lt;0,$G61*INDEX(InputsBG!$1:$1048576,BC$2,MATCH(Substrates!$AY61,InputsBG!$38:$38,0))/$AX61,0)</f>
        <v>0</v>
      </c>
      <c r="BD61" s="662">
        <f t="shared" si="47"/>
        <v>0</v>
      </c>
      <c r="BE61" s="645" t="e">
        <f t="shared" si="59"/>
        <v>#DIV/0!</v>
      </c>
      <c r="BF61" s="645" t="e">
        <f t="shared" si="60"/>
        <v>#DIV/0!</v>
      </c>
      <c r="BG61" s="663"/>
      <c r="BH61" s="584"/>
      <c r="BI61" s="584"/>
      <c r="BJ61" s="584"/>
      <c r="BK61" s="584"/>
      <c r="BL61" s="584"/>
      <c r="BM61" s="584"/>
      <c r="BN61" s="584"/>
      <c r="BO61" s="584"/>
      <c r="BP61" s="584"/>
      <c r="BQ61" s="584"/>
      <c r="BR61" s="584"/>
      <c r="BS61" s="584"/>
      <c r="BT61" s="584" t="str">
        <f t="shared" si="48"/>
        <v>Molasses, from sugar beet, at sugar refinery</v>
      </c>
      <c r="BU61" s="584"/>
    </row>
    <row r="62" spans="1:73" s="878" customFormat="1">
      <c r="A62" s="933" t="s">
        <v>138</v>
      </c>
      <c r="B62" s="673" t="s">
        <v>1618</v>
      </c>
      <c r="C62" s="201" t="s">
        <v>1625</v>
      </c>
      <c r="D62" s="625"/>
      <c r="E62" s="819" t="str">
        <f t="shared" si="57"/>
        <v>Milk and fermentation serum, penicillin milk, skimmed milk, sour whey, milk permeate (general residues from milk processing)</v>
      </c>
      <c r="F62" s="795">
        <v>0</v>
      </c>
      <c r="G62" s="797">
        <v>0</v>
      </c>
      <c r="H62" s="906">
        <v>0</v>
      </c>
      <c r="I62" s="906">
        <v>0</v>
      </c>
      <c r="K62" s="898"/>
      <c r="L62" s="885">
        <f t="shared" si="74"/>
        <v>0</v>
      </c>
      <c r="M62" s="899">
        <f t="shared" si="75"/>
        <v>0</v>
      </c>
      <c r="N62" s="899"/>
      <c r="O62" s="899"/>
      <c r="P62" s="899"/>
      <c r="Q62" s="899"/>
      <c r="R62" s="897" t="str">
        <f>IF(F62&gt;0,IF(G62/F62/1000&lt;AX62,INDEX(menuesBG!$1:$1048576,Warnung,sprache),""),"")</f>
        <v/>
      </c>
      <c r="S62" s="627">
        <v>7</v>
      </c>
      <c r="T62" s="628"/>
      <c r="U62" s="628"/>
      <c r="V62" s="627">
        <v>90.5</v>
      </c>
      <c r="W62" s="628"/>
      <c r="X62" s="628"/>
      <c r="Y62" s="656">
        <f t="shared" si="44"/>
        <v>2.9930555555555554</v>
      </c>
      <c r="Z62" s="668">
        <f>Z$138</f>
        <v>2.3277777777777775</v>
      </c>
      <c r="AA62" s="668">
        <f>AA$138</f>
        <v>3.6583333333333337</v>
      </c>
      <c r="AB62" s="654">
        <v>13</v>
      </c>
      <c r="AC62" s="631">
        <f>AD62*Y62</f>
        <v>1.8457175925925919</v>
      </c>
      <c r="AD62" s="666">
        <f t="shared" ref="AD62:AF63" si="80">AD$138</f>
        <v>0.61666666666666647</v>
      </c>
      <c r="AE62" s="667">
        <f t="shared" si="80"/>
        <v>45.65</v>
      </c>
      <c r="AF62" s="667">
        <f t="shared" si="80"/>
        <v>50.55</v>
      </c>
      <c r="AG62" s="627">
        <v>760</v>
      </c>
      <c r="AH62" s="658"/>
      <c r="AI62" s="658"/>
      <c r="AJ62" s="627">
        <v>58</v>
      </c>
      <c r="AK62" s="630">
        <f t="shared" si="39"/>
        <v>440.8</v>
      </c>
      <c r="AL62" s="634">
        <f t="shared" si="46"/>
        <v>0</v>
      </c>
      <c r="AM62" s="659">
        <v>0</v>
      </c>
      <c r="AN62" s="659">
        <v>0</v>
      </c>
      <c r="AO62" s="659">
        <v>0</v>
      </c>
      <c r="AP62" s="638" t="e">
        <f t="shared" si="78"/>
        <v>#N/A</v>
      </c>
      <c r="AQ62" s="639" t="e">
        <f t="shared" si="76"/>
        <v>#N/A</v>
      </c>
      <c r="AR62" s="640" t="e">
        <f t="shared" si="79"/>
        <v>#N/A</v>
      </c>
      <c r="AS62" s="641" t="e">
        <f t="shared" si="77"/>
        <v>#DIV/0!</v>
      </c>
      <c r="AT62" s="642" t="e">
        <f>FaktorenBG!F$43*(1+FaktorenBG!F$56)*IF(Auswahl_Behandlung_fest&lt;5,$F62,0)</f>
        <v>#N/A</v>
      </c>
      <c r="AU62" s="642" t="e">
        <f>FaktorenBG!G$43*(1+FaktorenBG!G$56)*IF(Auswahl_Behandlung_fest&lt;5,$F62,0)</f>
        <v>#N/A</v>
      </c>
      <c r="AV62" s="642" t="e">
        <f>FaktorenBG!H$43*(1+FaktorenBG!H$56)*IF(Auswahl_Behandlung_fest&lt;5,$F62,0)</f>
        <v>#N/A</v>
      </c>
      <c r="AW62" s="643">
        <f t="shared" si="20"/>
        <v>0</v>
      </c>
      <c r="AX62" s="643" t="e">
        <f>INDEX(InputsBG!$1:$1048576,AX$2,MATCH(Substrates!$AY62,InputsBG!$38:$38,0))</f>
        <v>#N/A</v>
      </c>
      <c r="AY62" s="672" t="s">
        <v>1766</v>
      </c>
      <c r="AZ62" s="661">
        <f>IF($G62&lt;0,$G62*INDEX(InputsBG!$1:$1048576,AZ$2,MATCH(Substrates!$AY62,InputsBG!$38:$38,0))/$AX62,0)</f>
        <v>0</v>
      </c>
      <c r="BA62" s="661">
        <f>IF($G62&lt;0,$G62*INDEX(InputsBG!$1:$1048576,BA$2,MATCH(Substrates!$AY62,InputsBG!$38:$38,0))/$AX62,0)</f>
        <v>0</v>
      </c>
      <c r="BB62" s="661">
        <f>IF($G62&lt;0,$G62*INDEX(InputsBG!$1:$1048576,BB$2,MATCH(Substrates!$AY62,InputsBG!$38:$38,0))/$AX62,0)</f>
        <v>0</v>
      </c>
      <c r="BC62" s="661">
        <f>IF($G62&lt;0,$G62*INDEX(InputsBG!$1:$1048576,BC$2,MATCH(Substrates!$AY62,InputsBG!$38:$38,0))/$AX62,0)</f>
        <v>0</v>
      </c>
      <c r="BD62" s="662">
        <f t="shared" si="47"/>
        <v>0</v>
      </c>
      <c r="BE62" s="645" t="e">
        <f t="shared" si="59"/>
        <v>#DIV/0!</v>
      </c>
      <c r="BF62" s="645" t="e">
        <f t="shared" si="60"/>
        <v>#DIV/0!</v>
      </c>
      <c r="BG62" s="663"/>
      <c r="BH62" s="584"/>
      <c r="BI62" s="584"/>
      <c r="BJ62" s="584"/>
      <c r="BK62" s="584"/>
      <c r="BL62" s="584"/>
      <c r="BM62" s="584"/>
      <c r="BN62" s="584"/>
      <c r="BO62" s="584"/>
      <c r="BP62" s="584"/>
      <c r="BQ62" s="584"/>
      <c r="BR62" s="584"/>
      <c r="BS62" s="584"/>
      <c r="BT62" s="584" t="str">
        <f t="shared" si="48"/>
        <v>raw milk, silo zone, at farm</v>
      </c>
      <c r="BU62" s="584"/>
    </row>
    <row r="63" spans="1:73" s="878" customFormat="1">
      <c r="A63" s="933" t="s">
        <v>139</v>
      </c>
      <c r="B63" s="673" t="s">
        <v>498</v>
      </c>
      <c r="C63" s="201" t="s">
        <v>1554</v>
      </c>
      <c r="D63" s="625"/>
      <c r="E63" s="819" t="str">
        <f t="shared" si="57"/>
        <v>Manure from animal farms (slaughterhouses, circus, zoo, riding stables outside LZ)</v>
      </c>
      <c r="F63" s="795">
        <v>0</v>
      </c>
      <c r="G63" s="797">
        <v>0</v>
      </c>
      <c r="H63" s="906">
        <v>0</v>
      </c>
      <c r="I63" s="906">
        <v>0</v>
      </c>
      <c r="K63" s="898"/>
      <c r="L63" s="885">
        <f t="shared" si="74"/>
        <v>0</v>
      </c>
      <c r="M63" s="899">
        <f t="shared" si="75"/>
        <v>0</v>
      </c>
      <c r="N63" s="899"/>
      <c r="O63" s="899"/>
      <c r="P63" s="899"/>
      <c r="Q63" s="899"/>
      <c r="R63" s="897" t="str">
        <f>IF(F63&gt;0,IF(G63/F63/1000&lt;AX63,INDEX(menuesBG!$1:$1048576,Warnung,sprache),""),"")</f>
        <v/>
      </c>
      <c r="S63" s="629">
        <f t="shared" si="49"/>
        <v>30.7</v>
      </c>
      <c r="T63" s="668">
        <f>T$138</f>
        <v>30.7</v>
      </c>
      <c r="U63" s="668">
        <f>U$138</f>
        <v>30.7</v>
      </c>
      <c r="V63" s="629">
        <f>(W63+X63)/2</f>
        <v>73.900000000000006</v>
      </c>
      <c r="W63" s="668">
        <f>W$138</f>
        <v>73.900000000000006</v>
      </c>
      <c r="X63" s="668">
        <f>X$138</f>
        <v>73.900000000000006</v>
      </c>
      <c r="Y63" s="656">
        <f t="shared" si="44"/>
        <v>2.9930555555555554</v>
      </c>
      <c r="Z63" s="668">
        <f>Z$138</f>
        <v>2.3277777777777775</v>
      </c>
      <c r="AA63" s="668">
        <f>AA$138</f>
        <v>3.6583333333333337</v>
      </c>
      <c r="AB63" s="654">
        <v>13</v>
      </c>
      <c r="AC63" s="631">
        <f>AD63*Y63</f>
        <v>1.8457175925925919</v>
      </c>
      <c r="AD63" s="666">
        <f t="shared" si="80"/>
        <v>0.61666666666666647</v>
      </c>
      <c r="AE63" s="667">
        <f t="shared" si="80"/>
        <v>45.65</v>
      </c>
      <c r="AF63" s="667">
        <f t="shared" si="80"/>
        <v>50.55</v>
      </c>
      <c r="AG63" s="629">
        <f>(AH63+AI63)/2</f>
        <v>492</v>
      </c>
      <c r="AH63" s="668">
        <f>AH$138</f>
        <v>376</v>
      </c>
      <c r="AI63" s="668">
        <f>AI$138</f>
        <v>608</v>
      </c>
      <c r="AJ63" s="627">
        <v>55</v>
      </c>
      <c r="AK63" s="630">
        <f t="shared" si="39"/>
        <v>270.60000000000002</v>
      </c>
      <c r="AL63" s="634">
        <f t="shared" si="46"/>
        <v>0</v>
      </c>
      <c r="AM63" s="659">
        <v>0</v>
      </c>
      <c r="AN63" s="659">
        <v>0</v>
      </c>
      <c r="AO63" s="659">
        <v>0</v>
      </c>
      <c r="AP63" s="638" t="e">
        <f t="shared" si="78"/>
        <v>#N/A</v>
      </c>
      <c r="AQ63" s="639" t="e">
        <f t="shared" si="76"/>
        <v>#N/A</v>
      </c>
      <c r="AR63" s="640" t="e">
        <f t="shared" si="79"/>
        <v>#N/A</v>
      </c>
      <c r="AS63" s="641" t="e">
        <f t="shared" si="77"/>
        <v>#DIV/0!</v>
      </c>
      <c r="AT63" s="642" t="e">
        <f>FaktorenBG!F$43*(1+FaktorenBG!F$56)*IF(Auswahl_Behandlung_fest&lt;5,$F63,0)</f>
        <v>#N/A</v>
      </c>
      <c r="AU63" s="642" t="e">
        <f>FaktorenBG!G$43*(1+FaktorenBG!G$56)*IF(Auswahl_Behandlung_fest&lt;5,$F63,0)</f>
        <v>#N/A</v>
      </c>
      <c r="AV63" s="642" t="e">
        <f>FaktorenBG!H$43*(1+FaktorenBG!H$56)*IF(Auswahl_Behandlung_fest&lt;5,$F63,0)</f>
        <v>#N/A</v>
      </c>
      <c r="AW63" s="643">
        <f t="shared" si="20"/>
        <v>0</v>
      </c>
      <c r="AX63" s="643" t="e">
        <f>INDEX(InputsBG!$1:$1048576,AX$2,MATCH(Substrates!$AY63,InputsBG!$38:$38,0))</f>
        <v>#N/A</v>
      </c>
      <c r="AY63" s="669" t="s">
        <v>893</v>
      </c>
      <c r="AZ63" s="661">
        <f>IF($G63&lt;0,$G63*INDEX(InputsBG!$1:$1048576,AZ$2,MATCH(Substrates!$AY63,InputsBG!$38:$38,0))/$AX63,0)</f>
        <v>0</v>
      </c>
      <c r="BA63" s="661">
        <f>IF($G63&lt;0,$G63*INDEX(InputsBG!$1:$1048576,BA$2,MATCH(Substrates!$AY63,InputsBG!$38:$38,0))/$AX63,0)</f>
        <v>0</v>
      </c>
      <c r="BB63" s="661">
        <f>IF($G63&lt;0,$G63*INDEX(InputsBG!$1:$1048576,BB$2,MATCH(Substrates!$AY63,InputsBG!$38:$38,0))/$AX63,0)</f>
        <v>0</v>
      </c>
      <c r="BC63" s="661">
        <f>IF($G63&lt;0,$G63*INDEX(InputsBG!$1:$1048576,BC$2,MATCH(Substrates!$AY63,InputsBG!$38:$38,0))/$AX63,0)</f>
        <v>0</v>
      </c>
      <c r="BD63" s="662">
        <f t="shared" si="47"/>
        <v>0</v>
      </c>
      <c r="BE63" s="645" t="e">
        <f t="shared" si="59"/>
        <v>#DIV/0!</v>
      </c>
      <c r="BF63" s="645" t="e">
        <f t="shared" si="60"/>
        <v>#DIV/0!</v>
      </c>
      <c r="BG63" s="663"/>
      <c r="BH63" s="584"/>
      <c r="BI63" s="584"/>
      <c r="BJ63" s="584"/>
      <c r="BK63" s="584"/>
      <c r="BL63" s="584"/>
      <c r="BM63" s="584"/>
      <c r="BN63" s="584"/>
      <c r="BO63" s="584"/>
      <c r="BP63" s="584"/>
      <c r="BQ63" s="584"/>
      <c r="BR63" s="584"/>
      <c r="BS63" s="584"/>
      <c r="BT63" s="584" t="e">
        <f t="shared" si="48"/>
        <v>#VALUE!</v>
      </c>
      <c r="BU63" s="584"/>
    </row>
    <row r="64" spans="1:73" s="878" customFormat="1">
      <c r="A64" s="673" t="s">
        <v>106</v>
      </c>
      <c r="B64" s="673" t="s">
        <v>451</v>
      </c>
      <c r="C64" s="201" t="s">
        <v>1555</v>
      </c>
      <c r="D64" s="625"/>
      <c r="E64" s="819" t="str">
        <f t="shared" si="57"/>
        <v>Whey</v>
      </c>
      <c r="F64" s="795">
        <v>0</v>
      </c>
      <c r="G64" s="797">
        <v>0</v>
      </c>
      <c r="H64" s="906">
        <v>0</v>
      </c>
      <c r="I64" s="906">
        <v>0</v>
      </c>
      <c r="K64" s="898"/>
      <c r="L64" s="885">
        <f t="shared" si="74"/>
        <v>0</v>
      </c>
      <c r="M64" s="899">
        <f t="shared" si="75"/>
        <v>0</v>
      </c>
      <c r="N64" s="899"/>
      <c r="O64" s="899"/>
      <c r="P64" s="899"/>
      <c r="Q64" s="899"/>
      <c r="R64" s="897" t="str">
        <f>IF(F64&gt;0,IF(G64/F64/1000&lt;AX64,INDEX(menuesBG!$1:$1048576,Warnung,sprache),""),"")</f>
        <v/>
      </c>
      <c r="S64" s="629">
        <f t="shared" si="49"/>
        <v>5.4</v>
      </c>
      <c r="T64" s="628">
        <v>4.3</v>
      </c>
      <c r="U64" s="628">
        <v>6.5</v>
      </c>
      <c r="V64" s="629">
        <f t="shared" si="50"/>
        <v>86</v>
      </c>
      <c r="W64" s="628">
        <v>80</v>
      </c>
      <c r="X64" s="628">
        <v>92</v>
      </c>
      <c r="Y64" s="656">
        <f t="shared" si="44"/>
        <v>1.1000000000000001</v>
      </c>
      <c r="Z64" s="628">
        <v>0.7</v>
      </c>
      <c r="AA64" s="628">
        <v>1.5</v>
      </c>
      <c r="AB64" s="654">
        <v>13</v>
      </c>
      <c r="AC64" s="631">
        <f t="shared" si="38"/>
        <v>0.71500000000000008</v>
      </c>
      <c r="AD64" s="657">
        <v>0.65</v>
      </c>
      <c r="AE64" s="633"/>
      <c r="AF64" s="633"/>
      <c r="AG64" s="629">
        <f t="shared" si="51"/>
        <v>775</v>
      </c>
      <c r="AH64" s="658">
        <v>650</v>
      </c>
      <c r="AI64" s="658">
        <v>900</v>
      </c>
      <c r="AJ64" s="627">
        <v>53</v>
      </c>
      <c r="AK64" s="630">
        <f t="shared" si="39"/>
        <v>410.75</v>
      </c>
      <c r="AL64" s="634">
        <f t="shared" si="46"/>
        <v>0</v>
      </c>
      <c r="AM64" s="659">
        <v>0</v>
      </c>
      <c r="AN64" s="659">
        <v>0</v>
      </c>
      <c r="AO64" s="659">
        <v>0</v>
      </c>
      <c r="AP64" s="638" t="e">
        <f t="shared" si="78"/>
        <v>#N/A</v>
      </c>
      <c r="AQ64" s="639" t="e">
        <f t="shared" si="76"/>
        <v>#N/A</v>
      </c>
      <c r="AR64" s="640" t="e">
        <f t="shared" si="79"/>
        <v>#N/A</v>
      </c>
      <c r="AS64" s="641" t="e">
        <f t="shared" si="77"/>
        <v>#DIV/0!</v>
      </c>
      <c r="AT64" s="642" t="e">
        <f>FaktorenBG!F$43*(1+FaktorenBG!F$56)*IF(Auswahl_Behandlung_fest&lt;5,$F64,0)</f>
        <v>#N/A</v>
      </c>
      <c r="AU64" s="642" t="e">
        <f>FaktorenBG!G$43*(1+FaktorenBG!G$56)*IF(Auswahl_Behandlung_fest&lt;5,$F64,0)</f>
        <v>#N/A</v>
      </c>
      <c r="AV64" s="642" t="e">
        <f>FaktorenBG!H$43*(1+FaktorenBG!H$56)*IF(Auswahl_Behandlung_fest&lt;5,$F64,0)</f>
        <v>#N/A</v>
      </c>
      <c r="AW64" s="643">
        <f t="shared" si="20"/>
        <v>0</v>
      </c>
      <c r="AX64" s="643" t="e">
        <f>INDEX(InputsBG!$1:$1048576,AX$2,MATCH(Substrates!$AY64,InputsBG!$38:$38,0))</f>
        <v>#N/A</v>
      </c>
      <c r="AY64" s="672" t="s">
        <v>1767</v>
      </c>
      <c r="AZ64" s="661">
        <f>IF($G64&lt;0,$G64*INDEX(InputsBG!$1:$1048576,AZ$2,MATCH(Substrates!$AY64,InputsBG!$38:$38,0))/$AX64,0)</f>
        <v>0</v>
      </c>
      <c r="BA64" s="661">
        <f>IF($G64&lt;0,$G64*INDEX(InputsBG!$1:$1048576,BA$2,MATCH(Substrates!$AY64,InputsBG!$38:$38,0))/$AX64,0)</f>
        <v>0</v>
      </c>
      <c r="BB64" s="661">
        <f>IF($G64&lt;0,$G64*INDEX(InputsBG!$1:$1048576,BB$2,MATCH(Substrates!$AY64,InputsBG!$38:$38,0))/$AX64,0)</f>
        <v>0</v>
      </c>
      <c r="BC64" s="661">
        <f>IF($G64&lt;0,$G64*INDEX(InputsBG!$1:$1048576,BC$2,MATCH(Substrates!$AY64,InputsBG!$38:$38,0))/$AX64,0)</f>
        <v>0</v>
      </c>
      <c r="BD64" s="662">
        <f t="shared" si="47"/>
        <v>0</v>
      </c>
      <c r="BE64" s="645" t="e">
        <f t="shared" si="59"/>
        <v>#DIV/0!</v>
      </c>
      <c r="BF64" s="645" t="e">
        <f t="shared" si="60"/>
        <v>#DIV/0!</v>
      </c>
      <c r="BG64" s="663"/>
      <c r="BH64" s="584"/>
      <c r="BI64" s="584"/>
      <c r="BJ64" s="584"/>
      <c r="BK64" s="584"/>
      <c r="BL64" s="584"/>
      <c r="BM64" s="584"/>
      <c r="BN64" s="584"/>
      <c r="BO64" s="584"/>
      <c r="BP64" s="584"/>
      <c r="BQ64" s="584"/>
      <c r="BR64" s="584"/>
      <c r="BS64" s="584"/>
      <c r="BT64" s="584" t="str">
        <f t="shared" si="48"/>
        <v>whey, at cheese dairy</v>
      </c>
      <c r="BU64" s="584"/>
    </row>
    <row r="65" spans="1:73" s="878" customFormat="1">
      <c r="A65" s="933" t="s">
        <v>309</v>
      </c>
      <c r="B65" s="673" t="s">
        <v>477</v>
      </c>
      <c r="C65" s="201" t="s">
        <v>1556</v>
      </c>
      <c r="D65" s="625"/>
      <c r="E65" s="819" t="str">
        <f t="shared" si="57"/>
        <v>Milling waste, grain disposal, oilseed residue</v>
      </c>
      <c r="F65" s="795">
        <v>0</v>
      </c>
      <c r="G65" s="797">
        <v>0</v>
      </c>
      <c r="H65" s="906">
        <v>0</v>
      </c>
      <c r="I65" s="906">
        <v>0</v>
      </c>
      <c r="K65" s="898"/>
      <c r="L65" s="885">
        <f t="shared" si="74"/>
        <v>0</v>
      </c>
      <c r="M65" s="899">
        <f t="shared" si="75"/>
        <v>0</v>
      </c>
      <c r="N65" s="899"/>
      <c r="O65" s="899"/>
      <c r="P65" s="899"/>
      <c r="Q65" s="899"/>
      <c r="R65" s="897" t="str">
        <f>IF(F65&gt;0,IF(G65/F65/1000&lt;AX65,INDEX(menuesBG!$1:$1048576,Warnung,sprache),""),"")</f>
        <v/>
      </c>
      <c r="S65" s="629">
        <f t="shared" si="49"/>
        <v>87.5</v>
      </c>
      <c r="T65" s="628">
        <v>85</v>
      </c>
      <c r="U65" s="628">
        <v>90</v>
      </c>
      <c r="V65" s="629">
        <f>(W65+X65)/2</f>
        <v>87</v>
      </c>
      <c r="W65" s="628">
        <v>85</v>
      </c>
      <c r="X65" s="628">
        <v>89</v>
      </c>
      <c r="Y65" s="656">
        <f t="shared" si="44"/>
        <v>0.5</v>
      </c>
      <c r="Z65" s="628">
        <v>0.5</v>
      </c>
      <c r="AA65" s="628">
        <v>0.5</v>
      </c>
      <c r="AB65" s="654">
        <v>13</v>
      </c>
      <c r="AC65" s="631">
        <f>AD65*Y65</f>
        <v>0.25</v>
      </c>
      <c r="AD65" s="657">
        <v>0.5</v>
      </c>
      <c r="AE65" s="633"/>
      <c r="AF65" s="633"/>
      <c r="AG65" s="629">
        <f>(AH65+AI65)/2</f>
        <v>300</v>
      </c>
      <c r="AH65" s="628">
        <v>250</v>
      </c>
      <c r="AI65" s="628">
        <v>350</v>
      </c>
      <c r="AJ65" s="627">
        <v>57</v>
      </c>
      <c r="AK65" s="630">
        <f t="shared" si="39"/>
        <v>171</v>
      </c>
      <c r="AL65" s="634">
        <f t="shared" si="46"/>
        <v>0</v>
      </c>
      <c r="AM65" s="659">
        <v>0</v>
      </c>
      <c r="AN65" s="659">
        <v>0</v>
      </c>
      <c r="AO65" s="659">
        <v>0</v>
      </c>
      <c r="AP65" s="638" t="e">
        <f t="shared" si="78"/>
        <v>#N/A</v>
      </c>
      <c r="AQ65" s="639" t="e">
        <f t="shared" si="76"/>
        <v>#N/A</v>
      </c>
      <c r="AR65" s="640" t="e">
        <f t="shared" si="79"/>
        <v>#N/A</v>
      </c>
      <c r="AS65" s="641" t="e">
        <f t="shared" si="77"/>
        <v>#DIV/0!</v>
      </c>
      <c r="AT65" s="642" t="e">
        <f>FaktorenBG!F$43*(1+FaktorenBG!F$56)*IF(Auswahl_Behandlung_fest&lt;5,$F65,0)</f>
        <v>#N/A</v>
      </c>
      <c r="AU65" s="642" t="e">
        <f>FaktorenBG!G$43*(1+FaktorenBG!G$56)*IF(Auswahl_Behandlung_fest&lt;5,$F65,0)</f>
        <v>#N/A</v>
      </c>
      <c r="AV65" s="642" t="e">
        <f>FaktorenBG!H$43*(1+FaktorenBG!H$56)*IF(Auswahl_Behandlung_fest&lt;5,$F65,0)</f>
        <v>#N/A</v>
      </c>
      <c r="AW65" s="643">
        <f t="shared" si="20"/>
        <v>0</v>
      </c>
      <c r="AX65" s="643" t="e">
        <f>INDEX(InputsBG!$1:$1048576,AX$2,MATCH(Substrates!$AY65,InputsBG!$38:$38,0))</f>
        <v>#N/A</v>
      </c>
      <c r="AY65" s="660" t="s">
        <v>1764</v>
      </c>
      <c r="AZ65" s="661">
        <f>IF($G65&lt;0,$G65*INDEX(InputsBG!$1:$1048576,AZ$2,MATCH(Substrates!$AY65,InputsBG!$38:$38,0))/$AX65,0)</f>
        <v>0</v>
      </c>
      <c r="BA65" s="661">
        <f>IF($G65&lt;0,$G65*INDEX(InputsBG!$1:$1048576,BA$2,MATCH(Substrates!$AY65,InputsBG!$38:$38,0))/$AX65,0)</f>
        <v>0</v>
      </c>
      <c r="BB65" s="661">
        <f>IF($G65&lt;0,$G65*INDEX(InputsBG!$1:$1048576,BB$2,MATCH(Substrates!$AY65,InputsBG!$38:$38,0))/$AX65,0)</f>
        <v>0</v>
      </c>
      <c r="BC65" s="661">
        <f>IF($G65&lt;0,$G65*INDEX(InputsBG!$1:$1048576,BC$2,MATCH(Substrates!$AY65,InputsBG!$38:$38,0))/$AX65,0)</f>
        <v>0</v>
      </c>
      <c r="BD65" s="662">
        <f t="shared" si="47"/>
        <v>0</v>
      </c>
      <c r="BE65" s="645" t="e">
        <f t="shared" si="59"/>
        <v>#DIV/0!</v>
      </c>
      <c r="BF65" s="645" t="e">
        <f t="shared" si="60"/>
        <v>#DIV/0!</v>
      </c>
      <c r="BG65" s="663"/>
      <c r="BH65" s="584"/>
      <c r="BI65" s="584"/>
      <c r="BJ65" s="584"/>
      <c r="BK65" s="584"/>
      <c r="BL65" s="584"/>
      <c r="BM65" s="584"/>
      <c r="BN65" s="584"/>
      <c r="BO65" s="584"/>
      <c r="BP65" s="584"/>
      <c r="BQ65" s="584"/>
      <c r="BR65" s="584"/>
      <c r="BS65" s="584"/>
      <c r="BT65" s="584" t="str">
        <f t="shared" si="48"/>
        <v>by-products, wheat milling, at plant</v>
      </c>
      <c r="BU65" s="584"/>
    </row>
    <row r="66" spans="1:73" s="878" customFormat="1">
      <c r="A66" s="933" t="s">
        <v>160</v>
      </c>
      <c r="B66" s="673" t="s">
        <v>452</v>
      </c>
      <c r="C66" s="201" t="s">
        <v>1557</v>
      </c>
      <c r="D66" s="625"/>
      <c r="E66" s="819" t="str">
        <f t="shared" si="57"/>
        <v>Fruit, cereal, potato stills, general residues from distillery process</v>
      </c>
      <c r="F66" s="795">
        <v>0</v>
      </c>
      <c r="G66" s="797">
        <v>0</v>
      </c>
      <c r="H66" s="906">
        <v>0</v>
      </c>
      <c r="I66" s="906">
        <v>0</v>
      </c>
      <c r="K66" s="898"/>
      <c r="L66" s="885">
        <f t="shared" si="74"/>
        <v>0</v>
      </c>
      <c r="M66" s="899">
        <f t="shared" si="75"/>
        <v>0</v>
      </c>
      <c r="N66" s="899"/>
      <c r="O66" s="899"/>
      <c r="P66" s="899"/>
      <c r="Q66" s="899"/>
      <c r="R66" s="897" t="str">
        <f>IF(F66&gt;0,IF(G66/F66/1000&lt;AX66,INDEX(menuesBG!$1:$1048576,Warnung,sprache),""),"")</f>
        <v/>
      </c>
      <c r="S66" s="629">
        <f t="shared" si="49"/>
        <v>10.5</v>
      </c>
      <c r="T66" s="628">
        <v>6</v>
      </c>
      <c r="U66" s="628">
        <v>15</v>
      </c>
      <c r="V66" s="629">
        <f t="shared" si="50"/>
        <v>90</v>
      </c>
      <c r="W66" s="628">
        <v>85</v>
      </c>
      <c r="X66" s="628">
        <v>95</v>
      </c>
      <c r="Y66" s="656">
        <f t="shared" si="44"/>
        <v>9</v>
      </c>
      <c r="Z66" s="671">
        <v>5</v>
      </c>
      <c r="AA66" s="671">
        <v>13</v>
      </c>
      <c r="AB66" s="665">
        <f>AVERAGE(0.04)/AVERAGE(0.5,1)*100</f>
        <v>5.3333333333333339</v>
      </c>
      <c r="AC66" s="631">
        <f t="shared" si="38"/>
        <v>5.8500000000000005</v>
      </c>
      <c r="AD66" s="657">
        <v>0.65</v>
      </c>
      <c r="AE66" s="633"/>
      <c r="AF66" s="633"/>
      <c r="AG66" s="629">
        <f t="shared" si="51"/>
        <v>525</v>
      </c>
      <c r="AH66" s="658">
        <v>400</v>
      </c>
      <c r="AI66" s="658">
        <v>650</v>
      </c>
      <c r="AJ66" s="627">
        <v>51</v>
      </c>
      <c r="AK66" s="630">
        <f t="shared" si="39"/>
        <v>267.75</v>
      </c>
      <c r="AL66" s="634">
        <f t="shared" si="46"/>
        <v>0</v>
      </c>
      <c r="AM66" s="659">
        <v>0</v>
      </c>
      <c r="AN66" s="659">
        <v>0</v>
      </c>
      <c r="AO66" s="659">
        <v>0</v>
      </c>
      <c r="AP66" s="638" t="e">
        <f t="shared" si="78"/>
        <v>#N/A</v>
      </c>
      <c r="AQ66" s="639" t="e">
        <f t="shared" si="76"/>
        <v>#N/A</v>
      </c>
      <c r="AR66" s="640" t="e">
        <f t="shared" si="79"/>
        <v>#N/A</v>
      </c>
      <c r="AS66" s="641" t="e">
        <f t="shared" si="77"/>
        <v>#DIV/0!</v>
      </c>
      <c r="AT66" s="642" t="e">
        <f>FaktorenBG!F$43*(1+FaktorenBG!F$56)*IF(Auswahl_Behandlung_fest&lt;5,$F66,0)</f>
        <v>#N/A</v>
      </c>
      <c r="AU66" s="642" t="e">
        <f>FaktorenBG!G$43*(1+FaktorenBG!G$56)*IF(Auswahl_Behandlung_fest&lt;5,$F66,0)</f>
        <v>#N/A</v>
      </c>
      <c r="AV66" s="642" t="e">
        <f>FaktorenBG!H$43*(1+FaktorenBG!H$56)*IF(Auswahl_Behandlung_fest&lt;5,$F66,0)</f>
        <v>#N/A</v>
      </c>
      <c r="AW66" s="643">
        <f t="shared" si="20"/>
        <v>0</v>
      </c>
      <c r="AX66" s="643" t="e">
        <f>INDEX(InputsBG!$1:$1048576,AX$2,MATCH(Substrates!$AY66,InputsBG!$38:$38,0))</f>
        <v>#N/A</v>
      </c>
      <c r="AY66" s="626" t="s">
        <v>1808</v>
      </c>
      <c r="AZ66" s="661">
        <f>IF($G66&lt;0,$G66*INDEX(InputsBG!$1:$1048576,AZ$2,MATCH(Substrates!$AY66,InputsBG!$38:$38,0))/$AX66,0)</f>
        <v>0</v>
      </c>
      <c r="BA66" s="661">
        <f>IF($G66&lt;0,$G66*INDEX(InputsBG!$1:$1048576,BA$2,MATCH(Substrates!$AY66,InputsBG!$38:$38,0))/$AX66,0)</f>
        <v>0</v>
      </c>
      <c r="BB66" s="661">
        <f>IF($G66&lt;0,$G66*INDEX(InputsBG!$1:$1048576,BB$2,MATCH(Substrates!$AY66,InputsBG!$38:$38,0))/$AX66,0)</f>
        <v>0</v>
      </c>
      <c r="BC66" s="661">
        <f>IF($G66&lt;0,$G66*INDEX(InputsBG!$1:$1048576,BC$2,MATCH(Substrates!$AY66,InputsBG!$38:$38,0))/$AX66,0)</f>
        <v>0</v>
      </c>
      <c r="BD66" s="662">
        <f t="shared" si="47"/>
        <v>0</v>
      </c>
      <c r="BE66" s="645" t="e">
        <f t="shared" si="59"/>
        <v>#DIV/0!</v>
      </c>
      <c r="BF66" s="645" t="e">
        <f t="shared" si="60"/>
        <v>#DIV/0!</v>
      </c>
      <c r="BG66" s="663"/>
      <c r="BH66" s="584"/>
      <c r="BI66" s="584"/>
      <c r="BJ66" s="584"/>
      <c r="BK66" s="584"/>
      <c r="BL66" s="584"/>
      <c r="BM66" s="584"/>
      <c r="BN66" s="584"/>
      <c r="BO66" s="584"/>
      <c r="BP66" s="584"/>
      <c r="BQ66" s="584"/>
      <c r="BR66" s="584"/>
      <c r="BS66" s="584"/>
      <c r="BT66" s="584" t="str">
        <f t="shared" si="48"/>
        <v>Potatoes IP, at farm</v>
      </c>
      <c r="BU66" s="584"/>
    </row>
    <row r="67" spans="1:73" s="878" customFormat="1">
      <c r="A67" s="933" t="s">
        <v>109</v>
      </c>
      <c r="B67" s="673" t="s">
        <v>453</v>
      </c>
      <c r="C67" s="201" t="s">
        <v>1558</v>
      </c>
      <c r="D67" s="625"/>
      <c r="E67" s="819" t="str">
        <f t="shared" si="57"/>
        <v>Rumen content</v>
      </c>
      <c r="F67" s="795">
        <v>0</v>
      </c>
      <c r="G67" s="797">
        <v>0</v>
      </c>
      <c r="H67" s="906">
        <v>0</v>
      </c>
      <c r="I67" s="906">
        <v>0</v>
      </c>
      <c r="K67" s="898"/>
      <c r="L67" s="885">
        <f t="shared" si="74"/>
        <v>0</v>
      </c>
      <c r="M67" s="899">
        <f t="shared" si="75"/>
        <v>0</v>
      </c>
      <c r="N67" s="899"/>
      <c r="O67" s="899"/>
      <c r="P67" s="899"/>
      <c r="Q67" s="899"/>
      <c r="R67" s="897" t="str">
        <f>IF(F67&gt;0,IF(G67/F67/1000&lt;AX67,INDEX(menuesBG!$1:$1048576,Warnung,sprache),""),"")</f>
        <v/>
      </c>
      <c r="S67" s="629">
        <f t="shared" si="49"/>
        <v>15</v>
      </c>
      <c r="T67" s="628">
        <v>11</v>
      </c>
      <c r="U67" s="628">
        <v>19</v>
      </c>
      <c r="V67" s="629">
        <f t="shared" si="50"/>
        <v>85</v>
      </c>
      <c r="W67" s="628">
        <v>80</v>
      </c>
      <c r="X67" s="628">
        <v>90</v>
      </c>
      <c r="Y67" s="656">
        <f t="shared" si="44"/>
        <v>1.75</v>
      </c>
      <c r="Z67" s="671">
        <v>1.3</v>
      </c>
      <c r="AA67" s="671">
        <v>2.2000000000000002</v>
      </c>
      <c r="AB67" s="665">
        <f>AVERAGE(0.4,0.7)/AVERAGE(1.3,2.2)*100</f>
        <v>31.428571428571434</v>
      </c>
      <c r="AC67" s="631">
        <f t="shared" si="38"/>
        <v>1.05</v>
      </c>
      <c r="AD67" s="657">
        <v>0.6</v>
      </c>
      <c r="AE67" s="633"/>
      <c r="AF67" s="633"/>
      <c r="AG67" s="629">
        <f t="shared" si="51"/>
        <v>375</v>
      </c>
      <c r="AH67" s="658">
        <v>300</v>
      </c>
      <c r="AI67" s="658">
        <v>450</v>
      </c>
      <c r="AJ67" s="627">
        <v>55</v>
      </c>
      <c r="AK67" s="630">
        <f t="shared" si="39"/>
        <v>206.25</v>
      </c>
      <c r="AL67" s="634">
        <f t="shared" si="46"/>
        <v>0</v>
      </c>
      <c r="AM67" s="659">
        <v>0</v>
      </c>
      <c r="AN67" s="659">
        <v>0</v>
      </c>
      <c r="AO67" s="659">
        <v>0</v>
      </c>
      <c r="AP67" s="638" t="e">
        <f t="shared" si="78"/>
        <v>#N/A</v>
      </c>
      <c r="AQ67" s="639" t="e">
        <f t="shared" si="76"/>
        <v>#N/A</v>
      </c>
      <c r="AR67" s="640" t="e">
        <f t="shared" si="79"/>
        <v>#N/A</v>
      </c>
      <c r="AS67" s="641" t="e">
        <f t="shared" si="77"/>
        <v>#DIV/0!</v>
      </c>
      <c r="AT67" s="642" t="e">
        <f>FaktorenBG!F$43*(1+FaktorenBG!F$56)*IF(Auswahl_Behandlung_fest&lt;5,$F67,0)</f>
        <v>#N/A</v>
      </c>
      <c r="AU67" s="642" t="e">
        <f>FaktorenBG!G$43*(1+FaktorenBG!G$56)*IF(Auswahl_Behandlung_fest&lt;5,$F67,0)</f>
        <v>#N/A</v>
      </c>
      <c r="AV67" s="642" t="e">
        <f>FaktorenBG!H$43*(1+FaktorenBG!H$56)*IF(Auswahl_Behandlung_fest&lt;5,$F67,0)</f>
        <v>#N/A</v>
      </c>
      <c r="AW67" s="643">
        <f t="shared" si="20"/>
        <v>0</v>
      </c>
      <c r="AX67" s="643" t="e">
        <f>INDEX(InputsBG!$1:$1048576,AX$2,MATCH(Substrates!$AY67,InputsBG!$38:$38,0))</f>
        <v>#N/A</v>
      </c>
      <c r="AY67" s="669" t="s">
        <v>893</v>
      </c>
      <c r="AZ67" s="661">
        <f>IF($G67&lt;0,$G67*INDEX(InputsBG!$1:$1048576,AZ$2,MATCH(Substrates!$AY67,InputsBG!$38:$38,0))/$AX67,0)</f>
        <v>0</v>
      </c>
      <c r="BA67" s="661">
        <f>IF($G67&lt;0,$G67*INDEX(InputsBG!$1:$1048576,BA$2,MATCH(Substrates!$AY67,InputsBG!$38:$38,0))/$AX67,0)</f>
        <v>0</v>
      </c>
      <c r="BB67" s="661">
        <f>IF($G67&lt;0,$G67*INDEX(InputsBG!$1:$1048576,BB$2,MATCH(Substrates!$AY67,InputsBG!$38:$38,0))/$AX67,0)</f>
        <v>0</v>
      </c>
      <c r="BC67" s="661">
        <f>IF($G67&lt;0,$G67*INDEX(InputsBG!$1:$1048576,BC$2,MATCH(Substrates!$AY67,InputsBG!$38:$38,0))/$AX67,0)</f>
        <v>0</v>
      </c>
      <c r="BD67" s="662">
        <f t="shared" si="47"/>
        <v>0</v>
      </c>
      <c r="BE67" s="645" t="e">
        <f t="shared" si="59"/>
        <v>#DIV/0!</v>
      </c>
      <c r="BF67" s="645" t="e">
        <f t="shared" si="60"/>
        <v>#DIV/0!</v>
      </c>
      <c r="BG67" s="663"/>
      <c r="BH67" s="584"/>
      <c r="BI67" s="584"/>
      <c r="BJ67" s="584"/>
      <c r="BK67" s="584"/>
      <c r="BL67" s="584"/>
      <c r="BM67" s="584"/>
      <c r="BN67" s="584"/>
      <c r="BO67" s="584"/>
      <c r="BP67" s="584"/>
      <c r="BQ67" s="584"/>
      <c r="BR67" s="584"/>
      <c r="BS67" s="584"/>
      <c r="BT67" s="584" t="e">
        <f t="shared" si="48"/>
        <v>#VALUE!</v>
      </c>
      <c r="BU67" s="584"/>
    </row>
    <row r="68" spans="1:73" s="901" customFormat="1">
      <c r="A68" s="933" t="s">
        <v>161</v>
      </c>
      <c r="B68" s="673" t="s">
        <v>454</v>
      </c>
      <c r="C68" s="201" t="s">
        <v>1559</v>
      </c>
      <c r="D68" s="674"/>
      <c r="E68" s="819" t="str">
        <f t="shared" si="57"/>
        <v>Rapeseed extraction meal, rapeseed cake</v>
      </c>
      <c r="F68" s="795">
        <v>0</v>
      </c>
      <c r="G68" s="797">
        <v>0</v>
      </c>
      <c r="H68" s="906">
        <v>0</v>
      </c>
      <c r="I68" s="906">
        <v>0</v>
      </c>
      <c r="K68" s="898"/>
      <c r="L68" s="902">
        <f t="shared" si="74"/>
        <v>0</v>
      </c>
      <c r="M68" s="899">
        <f t="shared" si="75"/>
        <v>0</v>
      </c>
      <c r="N68" s="899"/>
      <c r="O68" s="899"/>
      <c r="P68" s="899"/>
      <c r="Q68" s="899"/>
      <c r="R68" s="897" t="str">
        <f>IF(F68&gt;0,IF(G68/F68/1000&lt;AX68,INDEX(menuesBG!$1:$1048576,Warnung,sprache),""),"")</f>
        <v/>
      </c>
      <c r="S68" s="629">
        <f t="shared" si="49"/>
        <v>88</v>
      </c>
      <c r="T68" s="628">
        <v>86</v>
      </c>
      <c r="U68" s="628">
        <v>90</v>
      </c>
      <c r="V68" s="629">
        <f t="shared" si="50"/>
        <v>92.5</v>
      </c>
      <c r="W68" s="628">
        <v>90</v>
      </c>
      <c r="X68" s="628">
        <v>95</v>
      </c>
      <c r="Y68" s="656">
        <f t="shared" si="44"/>
        <v>5.5</v>
      </c>
      <c r="Z68" s="628">
        <v>5</v>
      </c>
      <c r="AA68" s="628">
        <v>6</v>
      </c>
      <c r="AB68" s="654">
        <v>13</v>
      </c>
      <c r="AC68" s="631">
        <f t="shared" si="38"/>
        <v>3.8499999999999996</v>
      </c>
      <c r="AD68" s="657">
        <v>0.7</v>
      </c>
      <c r="AE68" s="633"/>
      <c r="AF68" s="633"/>
      <c r="AG68" s="627">
        <f>(AH68+AI68)/2</f>
        <v>740</v>
      </c>
      <c r="AH68" s="678">
        <v>500</v>
      </c>
      <c r="AI68" s="627">
        <v>980</v>
      </c>
      <c r="AJ68" s="627">
        <v>63</v>
      </c>
      <c r="AK68" s="630">
        <f t="shared" si="39"/>
        <v>466.2</v>
      </c>
      <c r="AL68" s="679">
        <f t="shared" si="46"/>
        <v>0</v>
      </c>
      <c r="AM68" s="659">
        <v>0</v>
      </c>
      <c r="AN68" s="659">
        <v>0</v>
      </c>
      <c r="AO68" s="659">
        <v>0</v>
      </c>
      <c r="AP68" s="638" t="e">
        <f t="shared" si="78"/>
        <v>#N/A</v>
      </c>
      <c r="AQ68" s="639" t="e">
        <f t="shared" si="76"/>
        <v>#N/A</v>
      </c>
      <c r="AR68" s="640" t="e">
        <f t="shared" si="79"/>
        <v>#N/A</v>
      </c>
      <c r="AS68" s="641" t="e">
        <f t="shared" si="77"/>
        <v>#DIV/0!</v>
      </c>
      <c r="AT68" s="642" t="e">
        <f>FaktorenBG!F$43*(1+FaktorenBG!F$56)*IF(Auswahl_Behandlung_fest&lt;5,$F68,0)</f>
        <v>#N/A</v>
      </c>
      <c r="AU68" s="642" t="e">
        <f>FaktorenBG!G$43*(1+FaktorenBG!G$56)*IF(Auswahl_Behandlung_fest&lt;5,$F68,0)</f>
        <v>#N/A</v>
      </c>
      <c r="AV68" s="642" t="e">
        <f>FaktorenBG!H$43*(1+FaktorenBG!H$56)*IF(Auswahl_Behandlung_fest&lt;5,$F68,0)</f>
        <v>#N/A</v>
      </c>
      <c r="AW68" s="643">
        <f t="shared" si="20"/>
        <v>0</v>
      </c>
      <c r="AX68" s="643" t="e">
        <f>INDEX(InputsBG!$1:$1048576,AX$2,MATCH(Substrates!$AY68,InputsBG!$38:$38,0))</f>
        <v>#N/A</v>
      </c>
      <c r="AY68" s="168" t="s">
        <v>1944</v>
      </c>
      <c r="AZ68" s="661">
        <f>IF($G68&lt;0,$G68*INDEX(InputsBG!$1:$1048576,AZ$2,MATCH(Substrates!$AY68,InputsBG!$38:$38,0))/$AX68,0)</f>
        <v>0</v>
      </c>
      <c r="BA68" s="661">
        <f>IF($G68&lt;0,$G68*INDEX(InputsBG!$1:$1048576,BA$2,MATCH(Substrates!$AY68,InputsBG!$38:$38,0))/$AX68,0)</f>
        <v>0</v>
      </c>
      <c r="BB68" s="661">
        <f>IF($G68&lt;0,$G68*INDEX(InputsBG!$1:$1048576,BB$2,MATCH(Substrates!$AY68,InputsBG!$38:$38,0))/$AX68,0)</f>
        <v>0</v>
      </c>
      <c r="BC68" s="661">
        <f>IF($G68&lt;0,$G68*INDEX(InputsBG!$1:$1048576,BC$2,MATCH(Substrates!$AY68,InputsBG!$38:$38,0))/$AX68,0)</f>
        <v>0</v>
      </c>
      <c r="BD68" s="662">
        <f t="shared" si="47"/>
        <v>0</v>
      </c>
      <c r="BE68" s="645" t="e">
        <f t="shared" si="59"/>
        <v>#DIV/0!</v>
      </c>
      <c r="BF68" s="645" t="e">
        <f t="shared" si="60"/>
        <v>#DIV/0!</v>
      </c>
      <c r="BG68" s="680"/>
      <c r="BH68" s="681"/>
      <c r="BI68" s="681"/>
      <c r="BJ68" s="681"/>
      <c r="BK68" s="681"/>
      <c r="BL68" s="681"/>
      <c r="BM68" s="681"/>
      <c r="BN68" s="681"/>
      <c r="BO68" s="681"/>
      <c r="BP68" s="681"/>
      <c r="BQ68" s="681"/>
      <c r="BR68" s="681"/>
      <c r="BS68" s="681"/>
      <c r="BT68" s="584" t="str">
        <f t="shared" si="48"/>
        <v>Rape meal, at oil mill</v>
      </c>
      <c r="BU68" s="681"/>
    </row>
    <row r="69" spans="1:73" s="878" customFormat="1">
      <c r="A69" s="673" t="s">
        <v>126</v>
      </c>
      <c r="B69" s="673" t="s">
        <v>455</v>
      </c>
      <c r="C69" s="201" t="s">
        <v>1560</v>
      </c>
      <c r="D69" s="625"/>
      <c r="E69" s="819" t="str">
        <f t="shared" si="57"/>
        <v>Lawn cut, grass cut, fresh green waste</v>
      </c>
      <c r="F69" s="795">
        <v>0</v>
      </c>
      <c r="G69" s="797">
        <v>0</v>
      </c>
      <c r="H69" s="906">
        <v>0</v>
      </c>
      <c r="I69" s="906">
        <v>0</v>
      </c>
      <c r="K69" s="898"/>
      <c r="L69" s="885">
        <f t="shared" si="74"/>
        <v>0</v>
      </c>
      <c r="M69" s="899">
        <f t="shared" si="75"/>
        <v>0</v>
      </c>
      <c r="N69" s="899"/>
      <c r="O69" s="899"/>
      <c r="P69" s="899"/>
      <c r="Q69" s="899"/>
      <c r="R69" s="897" t="str">
        <f>IF(F69&gt;0,IF(G69/F69/1000&lt;AX69,INDEX(menuesBG!$1:$1048576,Warnung,sprache),""),"")</f>
        <v/>
      </c>
      <c r="S69" s="629">
        <f t="shared" si="49"/>
        <v>11.5</v>
      </c>
      <c r="T69" s="628">
        <v>11</v>
      </c>
      <c r="U69" s="628">
        <v>12</v>
      </c>
      <c r="V69" s="629">
        <f t="shared" si="50"/>
        <v>87.5</v>
      </c>
      <c r="W69" s="628">
        <v>83</v>
      </c>
      <c r="X69" s="628">
        <v>92</v>
      </c>
      <c r="Y69" s="656">
        <f t="shared" si="44"/>
        <v>3.15</v>
      </c>
      <c r="Z69" s="628">
        <v>2</v>
      </c>
      <c r="AA69" s="628">
        <v>4.3</v>
      </c>
      <c r="AB69" s="665">
        <f>AVERAGE(3.5,6.9)/AVERAGE(6.9,19.8)*100</f>
        <v>38.951310861423217</v>
      </c>
      <c r="AC69" s="631">
        <f t="shared" si="38"/>
        <v>2.0474999999999999</v>
      </c>
      <c r="AD69" s="657">
        <v>0.65</v>
      </c>
      <c r="AE69" s="633"/>
      <c r="AF69" s="633"/>
      <c r="AG69" s="629">
        <f t="shared" si="51"/>
        <v>615</v>
      </c>
      <c r="AH69" s="658">
        <v>550</v>
      </c>
      <c r="AI69" s="658">
        <v>680</v>
      </c>
      <c r="AJ69" s="627">
        <v>57</v>
      </c>
      <c r="AK69" s="630">
        <f t="shared" si="39"/>
        <v>350.55</v>
      </c>
      <c r="AL69" s="634">
        <f t="shared" si="46"/>
        <v>0</v>
      </c>
      <c r="AM69" s="659">
        <v>0</v>
      </c>
      <c r="AN69" s="659">
        <v>0</v>
      </c>
      <c r="AO69" s="659">
        <v>0</v>
      </c>
      <c r="AP69" s="638" t="e">
        <f t="shared" si="78"/>
        <v>#N/A</v>
      </c>
      <c r="AQ69" s="639" t="e">
        <f t="shared" si="76"/>
        <v>#N/A</v>
      </c>
      <c r="AR69" s="640" t="e">
        <f t="shared" si="79"/>
        <v>#N/A</v>
      </c>
      <c r="AS69" s="641" t="e">
        <f t="shared" si="77"/>
        <v>#DIV/0!</v>
      </c>
      <c r="AT69" s="642" t="e">
        <f>FaktorenBG!F$43*(1+FaktorenBG!F$56)*IF(Auswahl_Behandlung_fest&lt;5,$F69,0)</f>
        <v>#N/A</v>
      </c>
      <c r="AU69" s="642" t="e">
        <f>FaktorenBG!G$43*(1+FaktorenBG!G$56)*IF(Auswahl_Behandlung_fest&lt;5,$F69,0)</f>
        <v>#N/A</v>
      </c>
      <c r="AV69" s="642" t="e">
        <f>FaktorenBG!H$43*(1+FaktorenBG!H$56)*IF(Auswahl_Behandlung_fest&lt;5,$F69,0)</f>
        <v>#N/A</v>
      </c>
      <c r="AW69" s="643">
        <f t="shared" si="20"/>
        <v>0</v>
      </c>
      <c r="AX69" s="643" t="e">
        <f>INDEX(InputsBG!$1:$1048576,AX$2,MATCH(Substrates!$AY69,InputsBG!$38:$38,0))</f>
        <v>#N/A</v>
      </c>
      <c r="AY69" s="168" t="s">
        <v>1807</v>
      </c>
      <c r="AZ69" s="661">
        <f>IF($G69&lt;0,$G69*INDEX(InputsBG!$1:$1048576,AZ$2,MATCH(Substrates!$AY69,InputsBG!$38:$38,0))/$AX69,0)</f>
        <v>0</v>
      </c>
      <c r="BA69" s="661">
        <f>IF($G69&lt;0,$G69*INDEX(InputsBG!$1:$1048576,BA$2,MATCH(Substrates!$AY69,InputsBG!$38:$38,0))/$AX69,0)</f>
        <v>0</v>
      </c>
      <c r="BB69" s="661">
        <f>IF($G69&lt;0,$G69*INDEX(InputsBG!$1:$1048576,BB$2,MATCH(Substrates!$AY69,InputsBG!$38:$38,0))/$AX69,0)</f>
        <v>0</v>
      </c>
      <c r="BC69" s="661">
        <f>IF($G69&lt;0,$G69*INDEX(InputsBG!$1:$1048576,BC$2,MATCH(Substrates!$AY69,InputsBG!$38:$38,0))/$AX69,0)</f>
        <v>0</v>
      </c>
      <c r="BD69" s="662">
        <f t="shared" si="47"/>
        <v>0</v>
      </c>
      <c r="BE69" s="645" t="e">
        <f t="shared" si="59"/>
        <v>#DIV/0!</v>
      </c>
      <c r="BF69" s="645" t="e">
        <f t="shared" si="60"/>
        <v>#DIV/0!</v>
      </c>
      <c r="BG69" s="663"/>
      <c r="BH69" s="584"/>
      <c r="BI69" s="584"/>
      <c r="BJ69" s="584"/>
      <c r="BK69" s="584"/>
      <c r="BL69" s="584"/>
      <c r="BM69" s="584"/>
      <c r="BN69" s="584"/>
      <c r="BO69" s="584"/>
      <c r="BP69" s="584"/>
      <c r="BQ69" s="584"/>
      <c r="BR69" s="584"/>
      <c r="BS69" s="584"/>
      <c r="BT69" s="584" t="str">
        <f t="shared" si="48"/>
        <v>Hay intensive IP, at farm</v>
      </c>
      <c r="BU69" s="584"/>
    </row>
    <row r="70" spans="1:73" s="878" customFormat="1">
      <c r="A70" s="933" t="s">
        <v>140</v>
      </c>
      <c r="B70" s="673" t="s">
        <v>501</v>
      </c>
      <c r="C70" s="201" t="s">
        <v>1561</v>
      </c>
      <c r="D70" s="625"/>
      <c r="E70" s="819" t="str">
        <f t="shared" si="57"/>
        <v>Screenings, floating debris, waste material</v>
      </c>
      <c r="F70" s="795">
        <v>0</v>
      </c>
      <c r="G70" s="797">
        <v>0</v>
      </c>
      <c r="H70" s="906">
        <v>0</v>
      </c>
      <c r="I70" s="906">
        <v>0</v>
      </c>
      <c r="K70" s="898"/>
      <c r="L70" s="885">
        <f t="shared" si="74"/>
        <v>0</v>
      </c>
      <c r="M70" s="899">
        <f t="shared" si="75"/>
        <v>0</v>
      </c>
      <c r="N70" s="899"/>
      <c r="O70" s="899"/>
      <c r="P70" s="899"/>
      <c r="Q70" s="899"/>
      <c r="R70" s="897" t="str">
        <f>IF(F70&gt;0,IF(G70/F70/1000&lt;AX70,INDEX(menuesBG!$1:$1048576,Warnung,sprache),""),"")</f>
        <v/>
      </c>
      <c r="S70" s="629">
        <f t="shared" si="49"/>
        <v>30.7</v>
      </c>
      <c r="T70" s="668">
        <f>T$138</f>
        <v>30.7</v>
      </c>
      <c r="U70" s="668">
        <f>U$138</f>
        <v>30.7</v>
      </c>
      <c r="V70" s="629">
        <f>(W70+X70)/2</f>
        <v>73.900000000000006</v>
      </c>
      <c r="W70" s="668">
        <f>W$138</f>
        <v>73.900000000000006</v>
      </c>
      <c r="X70" s="668">
        <f>X$138</f>
        <v>73.900000000000006</v>
      </c>
      <c r="Y70" s="656">
        <f t="shared" si="44"/>
        <v>2.9930555555555554</v>
      </c>
      <c r="Z70" s="668">
        <f>Z$138</f>
        <v>2.3277777777777775</v>
      </c>
      <c r="AA70" s="668">
        <f>AA$138</f>
        <v>3.6583333333333337</v>
      </c>
      <c r="AB70" s="654">
        <v>13</v>
      </c>
      <c r="AC70" s="631">
        <f>AD70*Y70</f>
        <v>1.8457175925925919</v>
      </c>
      <c r="AD70" s="666">
        <f>AD$138</f>
        <v>0.61666666666666647</v>
      </c>
      <c r="AE70" s="667">
        <f>AE$138</f>
        <v>45.65</v>
      </c>
      <c r="AF70" s="667">
        <f>AF$138</f>
        <v>50.55</v>
      </c>
      <c r="AG70" s="629">
        <f>(AH70+AI70)/2</f>
        <v>492</v>
      </c>
      <c r="AH70" s="668">
        <f>AH$138</f>
        <v>376</v>
      </c>
      <c r="AI70" s="668">
        <f>AI$138</f>
        <v>608</v>
      </c>
      <c r="AJ70" s="627">
        <v>57</v>
      </c>
      <c r="AK70" s="630">
        <f t="shared" si="39"/>
        <v>280.44</v>
      </c>
      <c r="AL70" s="634">
        <f t="shared" si="46"/>
        <v>0</v>
      </c>
      <c r="AM70" s="659">
        <v>0</v>
      </c>
      <c r="AN70" s="659">
        <v>0</v>
      </c>
      <c r="AO70" s="659">
        <v>0</v>
      </c>
      <c r="AP70" s="638" t="e">
        <f t="shared" si="78"/>
        <v>#N/A</v>
      </c>
      <c r="AQ70" s="639" t="e">
        <f t="shared" si="76"/>
        <v>#N/A</v>
      </c>
      <c r="AR70" s="640" t="e">
        <f t="shared" si="79"/>
        <v>#N/A</v>
      </c>
      <c r="AS70" s="641" t="e">
        <f t="shared" si="77"/>
        <v>#DIV/0!</v>
      </c>
      <c r="AT70" s="642" t="e">
        <f>FaktorenBG!F$43*(1+FaktorenBG!F$56)*IF(Auswahl_Behandlung_fest&lt;5,$F70,0)</f>
        <v>#N/A</v>
      </c>
      <c r="AU70" s="642" t="e">
        <f>FaktorenBG!G$43*(1+FaktorenBG!G$56)*IF(Auswahl_Behandlung_fest&lt;5,$F70,0)</f>
        <v>#N/A</v>
      </c>
      <c r="AV70" s="642" t="e">
        <f>FaktorenBG!H$43*(1+FaktorenBG!H$56)*IF(Auswahl_Behandlung_fest&lt;5,$F70,0)</f>
        <v>#N/A</v>
      </c>
      <c r="AW70" s="643">
        <f t="shared" si="20"/>
        <v>0</v>
      </c>
      <c r="AX70" s="643" t="e">
        <f>INDEX(InputsBG!$1:$1048576,AX$2,MATCH(Substrates!$AY70,InputsBG!$38:$38,0))</f>
        <v>#N/A</v>
      </c>
      <c r="AY70" s="669" t="s">
        <v>893</v>
      </c>
      <c r="AZ70" s="661">
        <f>IF($G70&lt;0,$G70*INDEX(InputsBG!$1:$1048576,AZ$2,MATCH(Substrates!$AY70,InputsBG!$38:$38,0))/$AX70,0)</f>
        <v>0</v>
      </c>
      <c r="BA70" s="661">
        <f>IF($G70&lt;0,$G70*INDEX(InputsBG!$1:$1048576,BA$2,MATCH(Substrates!$AY70,InputsBG!$38:$38,0))/$AX70,0)</f>
        <v>0</v>
      </c>
      <c r="BB70" s="661">
        <f>IF($G70&lt;0,$G70*INDEX(InputsBG!$1:$1048576,BB$2,MATCH(Substrates!$AY70,InputsBG!$38:$38,0))/$AX70,0)</f>
        <v>0</v>
      </c>
      <c r="BC70" s="661">
        <f>IF($G70&lt;0,$G70*INDEX(InputsBG!$1:$1048576,BC$2,MATCH(Substrates!$AY70,InputsBG!$38:$38,0))/$AX70,0)</f>
        <v>0</v>
      </c>
      <c r="BD70" s="662">
        <f t="shared" si="47"/>
        <v>0</v>
      </c>
      <c r="BE70" s="645" t="e">
        <f t="shared" si="59"/>
        <v>#DIV/0!</v>
      </c>
      <c r="BF70" s="645" t="e">
        <f t="shared" si="60"/>
        <v>#DIV/0!</v>
      </c>
      <c r="BG70" s="663"/>
      <c r="BH70" s="584"/>
      <c r="BI70" s="584"/>
      <c r="BJ70" s="584"/>
      <c r="BK70" s="584"/>
      <c r="BL70" s="584"/>
      <c r="BM70" s="584"/>
      <c r="BN70" s="584"/>
      <c r="BO70" s="584"/>
      <c r="BP70" s="584"/>
      <c r="BQ70" s="584"/>
      <c r="BR70" s="584"/>
      <c r="BS70" s="584"/>
      <c r="BT70" s="584" t="e">
        <f t="shared" si="48"/>
        <v>#VALUE!</v>
      </c>
      <c r="BU70" s="584"/>
    </row>
    <row r="71" spans="1:73" s="878" customFormat="1">
      <c r="A71" s="933" t="s">
        <v>164</v>
      </c>
      <c r="B71" s="673" t="s">
        <v>99</v>
      </c>
      <c r="C71" s="201" t="s">
        <v>1562</v>
      </c>
      <c r="D71" s="625"/>
      <c r="E71" s="819" t="str">
        <f t="shared" si="57"/>
        <v>Rye silage (whole plant silage)</v>
      </c>
      <c r="F71" s="795">
        <v>0</v>
      </c>
      <c r="G71" s="797">
        <v>0</v>
      </c>
      <c r="H71" s="906">
        <v>0</v>
      </c>
      <c r="I71" s="906">
        <v>0</v>
      </c>
      <c r="K71" s="898"/>
      <c r="L71" s="885">
        <f t="shared" si="74"/>
        <v>0</v>
      </c>
      <c r="M71" s="899">
        <f t="shared" si="75"/>
        <v>0</v>
      </c>
      <c r="N71" s="899"/>
      <c r="O71" s="899"/>
      <c r="P71" s="899"/>
      <c r="Q71" s="899"/>
      <c r="R71" s="897" t="str">
        <f>IF(F71&gt;0,IF(G71/F71/1000&lt;AX71,INDEX(menuesBG!$1:$1048576,Warnung,sprache),""),"")</f>
        <v/>
      </c>
      <c r="S71" s="629">
        <f t="shared" si="49"/>
        <v>32.5</v>
      </c>
      <c r="T71" s="628">
        <v>30</v>
      </c>
      <c r="U71" s="628">
        <v>35</v>
      </c>
      <c r="V71" s="629">
        <f t="shared" si="50"/>
        <v>95</v>
      </c>
      <c r="W71" s="628">
        <v>92</v>
      </c>
      <c r="X71" s="628">
        <v>98</v>
      </c>
      <c r="Y71" s="656">
        <f t="shared" si="44"/>
        <v>4</v>
      </c>
      <c r="Z71" s="671">
        <v>4</v>
      </c>
      <c r="AA71" s="671">
        <v>4</v>
      </c>
      <c r="AB71" s="665">
        <f>AVERAGE(0.47)/AVERAGE(4)*100</f>
        <v>11.75</v>
      </c>
      <c r="AC71" s="631">
        <f t="shared" si="38"/>
        <v>2.8</v>
      </c>
      <c r="AD71" s="657">
        <v>0.7</v>
      </c>
      <c r="AE71" s="633"/>
      <c r="AF71" s="633"/>
      <c r="AG71" s="629">
        <f t="shared" si="51"/>
        <v>615</v>
      </c>
      <c r="AH71" s="658">
        <v>550</v>
      </c>
      <c r="AI71" s="658">
        <v>680</v>
      </c>
      <c r="AJ71" s="627">
        <v>54</v>
      </c>
      <c r="AK71" s="630">
        <f t="shared" si="39"/>
        <v>332.1</v>
      </c>
      <c r="AL71" s="634">
        <f t="shared" si="46"/>
        <v>0</v>
      </c>
      <c r="AM71" s="659">
        <v>0</v>
      </c>
      <c r="AN71" s="659">
        <v>0</v>
      </c>
      <c r="AO71" s="659">
        <v>0</v>
      </c>
      <c r="AP71" s="638" t="e">
        <f t="shared" si="78"/>
        <v>#N/A</v>
      </c>
      <c r="AQ71" s="639" t="e">
        <f t="shared" si="76"/>
        <v>#N/A</v>
      </c>
      <c r="AR71" s="640" t="e">
        <f t="shared" si="79"/>
        <v>#N/A</v>
      </c>
      <c r="AS71" s="641" t="e">
        <f t="shared" si="77"/>
        <v>#DIV/0!</v>
      </c>
      <c r="AT71" s="642" t="e">
        <f>FaktorenBG!F$43*(1+FaktorenBG!F$56)*IF(Auswahl_Behandlung_fest&lt;5,$F71,0)</f>
        <v>#N/A</v>
      </c>
      <c r="AU71" s="642" t="e">
        <f>FaktorenBG!G$43*(1+FaktorenBG!G$56)*IF(Auswahl_Behandlung_fest&lt;5,$F71,0)</f>
        <v>#N/A</v>
      </c>
      <c r="AV71" s="642" t="e">
        <f>FaktorenBG!H$43*(1+FaktorenBG!H$56)*IF(Auswahl_Behandlung_fest&lt;5,$F71,0)</f>
        <v>#N/A</v>
      </c>
      <c r="AW71" s="643">
        <f t="shared" si="20"/>
        <v>0</v>
      </c>
      <c r="AX71" s="643" t="e">
        <f>INDEX(InputsBG!$1:$1048576,AX$2,MATCH(Substrates!$AY71,InputsBG!$38:$38,0))</f>
        <v>#N/A</v>
      </c>
      <c r="AY71" s="626" t="s">
        <v>1048</v>
      </c>
      <c r="AZ71" s="661">
        <f>IF($G71&lt;0,$G71*INDEX(InputsBG!$1:$1048576,AZ$2,MATCH(Substrates!$AY71,InputsBG!$38:$38,0))/$AX71,0)</f>
        <v>0</v>
      </c>
      <c r="BA71" s="661">
        <f>IF($G71&lt;0,$G71*INDEX(InputsBG!$1:$1048576,BA$2,MATCH(Substrates!$AY71,InputsBG!$38:$38,0))/$AX71,0)</f>
        <v>0</v>
      </c>
      <c r="BB71" s="661">
        <f>IF($G71&lt;0,$G71*INDEX(InputsBG!$1:$1048576,BB$2,MATCH(Substrates!$AY71,InputsBG!$38:$38,0))/$AX71,0)</f>
        <v>0</v>
      </c>
      <c r="BC71" s="661">
        <f>IF($G71&lt;0,$G71*INDEX(InputsBG!$1:$1048576,BC$2,MATCH(Substrates!$AY71,InputsBG!$38:$38,0))/$AX71,0)</f>
        <v>0</v>
      </c>
      <c r="BD71" s="662">
        <f t="shared" si="47"/>
        <v>0</v>
      </c>
      <c r="BE71" s="645" t="e">
        <f t="shared" si="59"/>
        <v>#DIV/0!</v>
      </c>
      <c r="BF71" s="645" t="e">
        <f t="shared" si="60"/>
        <v>#DIV/0!</v>
      </c>
      <c r="BG71" s="663"/>
      <c r="BH71" s="584"/>
      <c r="BI71" s="584"/>
      <c r="BJ71" s="584"/>
      <c r="BK71" s="584"/>
      <c r="BL71" s="584"/>
      <c r="BM71" s="584"/>
      <c r="BN71" s="584"/>
      <c r="BO71" s="584"/>
      <c r="BP71" s="584"/>
      <c r="BQ71" s="584"/>
      <c r="BR71" s="584"/>
      <c r="BS71" s="584"/>
      <c r="BT71" s="584" t="str">
        <f t="shared" si="48"/>
        <v>Rye grains IP, at farm</v>
      </c>
      <c r="BU71" s="584"/>
    </row>
    <row r="72" spans="1:73" s="878" customFormat="1">
      <c r="A72" s="673" t="s">
        <v>95</v>
      </c>
      <c r="B72" s="673" t="s">
        <v>456</v>
      </c>
      <c r="C72" s="201" t="s">
        <v>1563</v>
      </c>
      <c r="D72" s="625"/>
      <c r="E72" s="819" t="str">
        <f t="shared" ref="E72:E107" si="81">IF(sprache=1,A72,IF(sprache=2,B72,C72))</f>
        <v>Beet leaf</v>
      </c>
      <c r="F72" s="795">
        <v>0</v>
      </c>
      <c r="G72" s="797">
        <v>0</v>
      </c>
      <c r="H72" s="906">
        <v>0</v>
      </c>
      <c r="I72" s="906">
        <v>0</v>
      </c>
      <c r="K72" s="898"/>
      <c r="L72" s="885">
        <f t="shared" si="74"/>
        <v>0</v>
      </c>
      <c r="M72" s="899">
        <f t="shared" si="75"/>
        <v>0</v>
      </c>
      <c r="N72" s="899"/>
      <c r="O72" s="899"/>
      <c r="P72" s="899"/>
      <c r="Q72" s="899"/>
      <c r="R72" s="897" t="str">
        <f>IF(F72&gt;0,IF(G72/F72/1000&lt;AX72,INDEX(menuesBG!$1:$1048576,Warnung,sprache),""),"")</f>
        <v/>
      </c>
      <c r="S72" s="629">
        <f t="shared" si="49"/>
        <v>16.5</v>
      </c>
      <c r="T72" s="628">
        <v>15</v>
      </c>
      <c r="U72" s="628">
        <v>18</v>
      </c>
      <c r="V72" s="629">
        <f t="shared" si="50"/>
        <v>78</v>
      </c>
      <c r="W72" s="628">
        <v>76</v>
      </c>
      <c r="X72" s="628">
        <v>80</v>
      </c>
      <c r="Y72" s="656">
        <f t="shared" si="44"/>
        <v>0.30000000000000004</v>
      </c>
      <c r="Z72" s="628">
        <v>0.2</v>
      </c>
      <c r="AA72" s="628">
        <v>0.4</v>
      </c>
      <c r="AB72" s="665">
        <f>AVERAGE(0.3,0.4)/AVERAGE(1.9)*100</f>
        <v>18.421052631578945</v>
      </c>
      <c r="AC72" s="631">
        <f t="shared" si="38"/>
        <v>0.18000000000000002</v>
      </c>
      <c r="AD72" s="657">
        <v>0.6</v>
      </c>
      <c r="AE72" s="633"/>
      <c r="AF72" s="633"/>
      <c r="AG72" s="629">
        <f t="shared" si="51"/>
        <v>550</v>
      </c>
      <c r="AH72" s="658">
        <v>400</v>
      </c>
      <c r="AI72" s="658">
        <v>700</v>
      </c>
      <c r="AJ72" s="627">
        <v>54</v>
      </c>
      <c r="AK72" s="630">
        <f t="shared" si="39"/>
        <v>297</v>
      </c>
      <c r="AL72" s="634">
        <f t="shared" si="46"/>
        <v>0</v>
      </c>
      <c r="AM72" s="659">
        <v>0</v>
      </c>
      <c r="AN72" s="659">
        <v>0</v>
      </c>
      <c r="AO72" s="659">
        <v>0</v>
      </c>
      <c r="AP72" s="638" t="e">
        <f t="shared" si="78"/>
        <v>#N/A</v>
      </c>
      <c r="AQ72" s="639" t="e">
        <f t="shared" si="76"/>
        <v>#N/A</v>
      </c>
      <c r="AR72" s="640" t="e">
        <f t="shared" si="79"/>
        <v>#N/A</v>
      </c>
      <c r="AS72" s="641" t="e">
        <f t="shared" si="77"/>
        <v>#DIV/0!</v>
      </c>
      <c r="AT72" s="642" t="e">
        <f>FaktorenBG!F$43*(1+FaktorenBG!F$56)*IF(Auswahl_Behandlung_fest&lt;5,$F72,0)</f>
        <v>#N/A</v>
      </c>
      <c r="AU72" s="642" t="e">
        <f>FaktorenBG!G$43*(1+FaktorenBG!G$56)*IF(Auswahl_Behandlung_fest&lt;5,$F72,0)</f>
        <v>#N/A</v>
      </c>
      <c r="AV72" s="642" t="e">
        <f>FaktorenBG!H$43*(1+FaktorenBG!H$56)*IF(Auswahl_Behandlung_fest&lt;5,$F72,0)</f>
        <v>#N/A</v>
      </c>
      <c r="AW72" s="643">
        <f t="shared" si="20"/>
        <v>0</v>
      </c>
      <c r="AX72" s="643" t="e">
        <f>INDEX(InputsBG!$1:$1048576,AX$2,MATCH(Substrates!$AY72,InputsBG!$38:$38,0))</f>
        <v>#N/A</v>
      </c>
      <c r="AY72" s="672" t="s">
        <v>1042</v>
      </c>
      <c r="AZ72" s="661">
        <f>IF($G72&lt;0,$G72*INDEX(InputsBG!$1:$1048576,AZ$2,MATCH(Substrates!$AY72,InputsBG!$38:$38,0))/$AX72,0)</f>
        <v>0</v>
      </c>
      <c r="BA72" s="661">
        <f>IF($G72&lt;0,$G72*INDEX(InputsBG!$1:$1048576,BA$2,MATCH(Substrates!$AY72,InputsBG!$38:$38,0))/$AX72,0)</f>
        <v>0</v>
      </c>
      <c r="BB72" s="661">
        <f>IF($G72&lt;0,$G72*INDEX(InputsBG!$1:$1048576,BB$2,MATCH(Substrates!$AY72,InputsBG!$38:$38,0))/$AX72,0)</f>
        <v>0</v>
      </c>
      <c r="BC72" s="661">
        <f>IF($G72&lt;0,$G72*INDEX(InputsBG!$1:$1048576,BC$2,MATCH(Substrates!$AY72,InputsBG!$38:$38,0))/$AX72,0)</f>
        <v>0</v>
      </c>
      <c r="BD72" s="662">
        <f t="shared" si="47"/>
        <v>0</v>
      </c>
      <c r="BE72" s="645" t="e">
        <f t="shared" ref="BE72:BE126" si="82">M72/Gasertrag_berechnet</f>
        <v>#DIV/0!</v>
      </c>
      <c r="BF72" s="645" t="e">
        <f t="shared" ref="BF72:BF126" si="83">AZ72/Belastung_Substrat</f>
        <v>#DIV/0!</v>
      </c>
      <c r="BG72" s="663"/>
      <c r="BH72" s="584"/>
      <c r="BI72" s="584"/>
      <c r="BJ72" s="584"/>
      <c r="BK72" s="584"/>
      <c r="BL72" s="584"/>
      <c r="BM72" s="584"/>
      <c r="BN72" s="584"/>
      <c r="BO72" s="584"/>
      <c r="BP72" s="584"/>
      <c r="BQ72" s="584"/>
      <c r="BR72" s="584"/>
      <c r="BS72" s="584"/>
      <c r="BT72" s="584" t="str">
        <f t="shared" si="48"/>
        <v>sugar beets IP, at farm</v>
      </c>
      <c r="BU72" s="584"/>
    </row>
    <row r="73" spans="1:73" s="901" customFormat="1">
      <c r="A73" s="933" t="s">
        <v>141</v>
      </c>
      <c r="B73" s="673" t="s">
        <v>458</v>
      </c>
      <c r="C73" s="201" t="s">
        <v>1564</v>
      </c>
      <c r="D73" s="674"/>
      <c r="E73" s="819" t="str">
        <f t="shared" si="81"/>
        <v>Beet pulp</v>
      </c>
      <c r="F73" s="795">
        <v>0</v>
      </c>
      <c r="G73" s="797">
        <v>0</v>
      </c>
      <c r="H73" s="906">
        <v>0</v>
      </c>
      <c r="I73" s="906">
        <v>0</v>
      </c>
      <c r="K73" s="898"/>
      <c r="L73" s="902">
        <f t="shared" si="74"/>
        <v>0</v>
      </c>
      <c r="M73" s="899">
        <f t="shared" si="75"/>
        <v>0</v>
      </c>
      <c r="N73" s="899"/>
      <c r="O73" s="899"/>
      <c r="P73" s="899"/>
      <c r="Q73" s="899"/>
      <c r="R73" s="897" t="str">
        <f>IF(F73&gt;0,IF(G73/F73/1000&lt;AX73,INDEX(menuesBG!$1:$1048576,Warnung,sprache),""),"")</f>
        <v/>
      </c>
      <c r="S73" s="627">
        <v>24</v>
      </c>
      <c r="T73" s="628"/>
      <c r="U73" s="628"/>
      <c r="V73" s="627">
        <v>92.5</v>
      </c>
      <c r="W73" s="628"/>
      <c r="X73" s="628"/>
      <c r="Y73" s="656">
        <f t="shared" si="44"/>
        <v>1.9</v>
      </c>
      <c r="Z73" s="682">
        <v>1.9</v>
      </c>
      <c r="AA73" s="682">
        <v>1.9</v>
      </c>
      <c r="AB73" s="665">
        <f>AVERAGE(0.3,0.4)/AVERAGE(1.9)*100</f>
        <v>18.421052631578945</v>
      </c>
      <c r="AC73" s="631">
        <f t="shared" si="38"/>
        <v>1.1716666666666662</v>
      </c>
      <c r="AD73" s="666">
        <f>AD$138</f>
        <v>0.61666666666666647</v>
      </c>
      <c r="AE73" s="667">
        <f>AE$138</f>
        <v>45.65</v>
      </c>
      <c r="AF73" s="667">
        <f>AF$138</f>
        <v>50.55</v>
      </c>
      <c r="AG73" s="627">
        <f>(AH73+AI73)/2</f>
        <v>480</v>
      </c>
      <c r="AH73" s="627">
        <v>250</v>
      </c>
      <c r="AI73" s="627">
        <v>710</v>
      </c>
      <c r="AJ73" s="627">
        <v>55</v>
      </c>
      <c r="AK73" s="630">
        <f t="shared" si="39"/>
        <v>264</v>
      </c>
      <c r="AL73" s="679">
        <f t="shared" si="46"/>
        <v>0</v>
      </c>
      <c r="AM73" s="659">
        <v>0</v>
      </c>
      <c r="AN73" s="659">
        <v>0</v>
      </c>
      <c r="AO73" s="659">
        <v>0</v>
      </c>
      <c r="AP73" s="638" t="e">
        <f t="shared" si="78"/>
        <v>#N/A</v>
      </c>
      <c r="AQ73" s="639" t="e">
        <f t="shared" si="76"/>
        <v>#N/A</v>
      </c>
      <c r="AR73" s="640" t="e">
        <f t="shared" si="79"/>
        <v>#N/A</v>
      </c>
      <c r="AS73" s="641" t="e">
        <f t="shared" si="77"/>
        <v>#DIV/0!</v>
      </c>
      <c r="AT73" s="642" t="e">
        <f>FaktorenBG!F$43*(1+FaktorenBG!F$56)*IF(Auswahl_Behandlung_fest&lt;5,$F73,0)</f>
        <v>#N/A</v>
      </c>
      <c r="AU73" s="642" t="e">
        <f>FaktorenBG!G$43*(1+FaktorenBG!G$56)*IF(Auswahl_Behandlung_fest&lt;5,$F73,0)</f>
        <v>#N/A</v>
      </c>
      <c r="AV73" s="642" t="e">
        <f>FaktorenBG!H$43*(1+FaktorenBG!H$56)*IF(Auswahl_Behandlung_fest&lt;5,$F73,0)</f>
        <v>#N/A</v>
      </c>
      <c r="AW73" s="643">
        <f t="shared" si="20"/>
        <v>0</v>
      </c>
      <c r="AX73" s="643" t="e">
        <f>INDEX(InputsBG!$1:$1048576,AX$2,MATCH(Substrates!$AY73,InputsBG!$38:$38,0))</f>
        <v>#N/A</v>
      </c>
      <c r="AY73" s="672" t="s">
        <v>942</v>
      </c>
      <c r="AZ73" s="661">
        <f>IF($G73&lt;0,$G73*INDEX(InputsBG!$1:$1048576,AZ$2,MATCH(Substrates!$AY73,InputsBG!$38:$38,0))/$AX73,0)</f>
        <v>0</v>
      </c>
      <c r="BA73" s="661">
        <f>IF($G73&lt;0,$G73*INDEX(InputsBG!$1:$1048576,BA$2,MATCH(Substrates!$AY73,InputsBG!$38:$38,0))/$AX73,0)</f>
        <v>0</v>
      </c>
      <c r="BB73" s="661">
        <f>IF($G73&lt;0,$G73*INDEX(InputsBG!$1:$1048576,BB$2,MATCH(Substrates!$AY73,InputsBG!$38:$38,0))/$AX73,0)</f>
        <v>0</v>
      </c>
      <c r="BC73" s="661">
        <f>IF($G73&lt;0,$G73*INDEX(InputsBG!$1:$1048576,BC$2,MATCH(Substrates!$AY73,InputsBG!$38:$38,0))/$AX73,0)</f>
        <v>0</v>
      </c>
      <c r="BD73" s="662">
        <f t="shared" si="47"/>
        <v>0</v>
      </c>
      <c r="BE73" s="645" t="e">
        <f t="shared" si="82"/>
        <v>#DIV/0!</v>
      </c>
      <c r="BF73" s="645" t="e">
        <f t="shared" si="83"/>
        <v>#DIV/0!</v>
      </c>
      <c r="BG73" s="680"/>
      <c r="BH73" s="681"/>
      <c r="BI73" s="681"/>
      <c r="BJ73" s="681"/>
      <c r="BK73" s="681"/>
      <c r="BL73" s="681"/>
      <c r="BM73" s="681"/>
      <c r="BN73" s="681"/>
      <c r="BO73" s="681"/>
      <c r="BP73" s="681"/>
      <c r="BQ73" s="681"/>
      <c r="BR73" s="681"/>
      <c r="BS73" s="681"/>
      <c r="BT73" s="584" t="str">
        <f t="shared" si="48"/>
        <v>Pulps, from sugar beet, at sugar refinery</v>
      </c>
      <c r="BU73" s="681"/>
    </row>
    <row r="74" spans="1:73" s="878" customFormat="1">
      <c r="A74" s="933" t="s">
        <v>142</v>
      </c>
      <c r="B74" s="673" t="s">
        <v>459</v>
      </c>
      <c r="C74" s="201" t="s">
        <v>1565</v>
      </c>
      <c r="D74" s="625"/>
      <c r="E74" s="819" t="str">
        <f t="shared" si="81"/>
        <v>Residues from the manufacture of canned food (vegetable)</v>
      </c>
      <c r="F74" s="795">
        <v>0</v>
      </c>
      <c r="G74" s="797">
        <v>0</v>
      </c>
      <c r="H74" s="906">
        <v>0</v>
      </c>
      <c r="I74" s="906">
        <v>0</v>
      </c>
      <c r="K74" s="898"/>
      <c r="L74" s="885">
        <f t="shared" si="74"/>
        <v>0</v>
      </c>
      <c r="M74" s="899">
        <f t="shared" si="75"/>
        <v>0</v>
      </c>
      <c r="N74" s="899"/>
      <c r="O74" s="899"/>
      <c r="P74" s="899"/>
      <c r="Q74" s="899"/>
      <c r="R74" s="897" t="str">
        <f>IF(F74&gt;0,IF(G74/F74/1000&lt;AX74,INDEX(menuesBG!$1:$1048576,Warnung,sprache),""),"")</f>
        <v/>
      </c>
      <c r="S74" s="629">
        <f t="shared" si="49"/>
        <v>13</v>
      </c>
      <c r="T74" s="628">
        <v>11</v>
      </c>
      <c r="U74" s="628">
        <v>15</v>
      </c>
      <c r="V74" s="629">
        <f>(W74+X74)/2</f>
        <v>90</v>
      </c>
      <c r="W74" s="628">
        <v>85</v>
      </c>
      <c r="X74" s="628">
        <v>95</v>
      </c>
      <c r="Y74" s="656">
        <f t="shared" si="44"/>
        <v>0.75</v>
      </c>
      <c r="Z74" s="628">
        <v>0.5</v>
      </c>
      <c r="AA74" s="628">
        <v>1</v>
      </c>
      <c r="AB74" s="665">
        <f>AVERAGE(0.01,1.1)/AVERAGE(0.6,5)*100</f>
        <v>19.821428571428573</v>
      </c>
      <c r="AC74" s="631">
        <f>AD74*Y74</f>
        <v>0.44999999999999996</v>
      </c>
      <c r="AD74" s="657">
        <v>0.6</v>
      </c>
      <c r="AE74" s="633"/>
      <c r="AF74" s="633"/>
      <c r="AG74" s="629">
        <f>(AH74+AI74)/2</f>
        <v>700</v>
      </c>
      <c r="AH74" s="628">
        <v>650</v>
      </c>
      <c r="AI74" s="628">
        <v>750</v>
      </c>
      <c r="AJ74" s="627">
        <v>57</v>
      </c>
      <c r="AK74" s="630">
        <f t="shared" si="39"/>
        <v>399</v>
      </c>
      <c r="AL74" s="634">
        <f t="shared" si="46"/>
        <v>0</v>
      </c>
      <c r="AM74" s="659">
        <v>0</v>
      </c>
      <c r="AN74" s="659">
        <v>0</v>
      </c>
      <c r="AO74" s="659">
        <v>0</v>
      </c>
      <c r="AP74" s="638" t="e">
        <f t="shared" si="78"/>
        <v>#N/A</v>
      </c>
      <c r="AQ74" s="639" t="e">
        <f t="shared" si="76"/>
        <v>#N/A</v>
      </c>
      <c r="AR74" s="640" t="e">
        <f t="shared" si="79"/>
        <v>#N/A</v>
      </c>
      <c r="AS74" s="641" t="e">
        <f t="shared" si="77"/>
        <v>#DIV/0!</v>
      </c>
      <c r="AT74" s="642" t="e">
        <f>FaktorenBG!F$43*(1+FaktorenBG!F$56)*IF(Auswahl_Behandlung_fest&lt;5,$F74,0)</f>
        <v>#N/A</v>
      </c>
      <c r="AU74" s="642" t="e">
        <f>FaktorenBG!G$43*(1+FaktorenBG!G$56)*IF(Auswahl_Behandlung_fest&lt;5,$F74,0)</f>
        <v>#N/A</v>
      </c>
      <c r="AV74" s="642" t="e">
        <f>FaktorenBG!H$43*(1+FaktorenBG!H$56)*IF(Auswahl_Behandlung_fest&lt;5,$F74,0)</f>
        <v>#N/A</v>
      </c>
      <c r="AW74" s="643">
        <f t="shared" si="20"/>
        <v>0</v>
      </c>
      <c r="AX74" s="643" t="e">
        <f>INDEX(InputsBG!$1:$1048576,AX$2,MATCH(Substrates!$AY74,InputsBG!$38:$38,0))</f>
        <v>#N/A</v>
      </c>
      <c r="AY74" s="669" t="s">
        <v>893</v>
      </c>
      <c r="AZ74" s="661">
        <f>IF($G74&lt;0,$G74*INDEX(InputsBG!$1:$1048576,AZ$2,MATCH(Substrates!$AY74,InputsBG!$38:$38,0))/$AX74,0)</f>
        <v>0</v>
      </c>
      <c r="BA74" s="661">
        <f>IF($G74&lt;0,$G74*INDEX(InputsBG!$1:$1048576,BA$2,MATCH(Substrates!$AY74,InputsBG!$38:$38,0))/$AX74,0)</f>
        <v>0</v>
      </c>
      <c r="BB74" s="661">
        <f>IF($G74&lt;0,$G74*INDEX(InputsBG!$1:$1048576,BB$2,MATCH(Substrates!$AY74,InputsBG!$38:$38,0))/$AX74,0)</f>
        <v>0</v>
      </c>
      <c r="BC74" s="661">
        <f>IF($G74&lt;0,$G74*INDEX(InputsBG!$1:$1048576,BC$2,MATCH(Substrates!$AY74,InputsBG!$38:$38,0))/$AX74,0)</f>
        <v>0</v>
      </c>
      <c r="BD74" s="662">
        <f t="shared" si="47"/>
        <v>0</v>
      </c>
      <c r="BE74" s="645" t="e">
        <f t="shared" si="82"/>
        <v>#DIV/0!</v>
      </c>
      <c r="BF74" s="645" t="e">
        <f t="shared" si="83"/>
        <v>#DIV/0!</v>
      </c>
      <c r="BG74" s="663"/>
      <c r="BH74" s="584"/>
      <c r="BI74" s="584"/>
      <c r="BJ74" s="584"/>
      <c r="BK74" s="584"/>
      <c r="BL74" s="584"/>
      <c r="BM74" s="584"/>
      <c r="BN74" s="584"/>
      <c r="BO74" s="584"/>
      <c r="BP74" s="584"/>
      <c r="BQ74" s="584"/>
      <c r="BR74" s="584"/>
      <c r="BS74" s="584"/>
      <c r="BT74" s="584" t="e">
        <f t="shared" si="48"/>
        <v>#VALUE!</v>
      </c>
      <c r="BU74" s="584"/>
    </row>
    <row r="75" spans="1:73" s="878" customFormat="1">
      <c r="A75" s="933" t="s">
        <v>381</v>
      </c>
      <c r="B75" s="673" t="s">
        <v>460</v>
      </c>
      <c r="C75" s="201" t="s">
        <v>1566</v>
      </c>
      <c r="D75" s="625"/>
      <c r="E75" s="819" t="str">
        <f t="shared" si="81"/>
        <v>Residues from the manufacture of potato, maize or rice starch</v>
      </c>
      <c r="F75" s="795">
        <v>0</v>
      </c>
      <c r="G75" s="797">
        <v>0</v>
      </c>
      <c r="H75" s="906">
        <v>0</v>
      </c>
      <c r="I75" s="906">
        <v>0</v>
      </c>
      <c r="K75" s="898"/>
      <c r="L75" s="885">
        <f t="shared" si="74"/>
        <v>0</v>
      </c>
      <c r="M75" s="899">
        <f t="shared" si="75"/>
        <v>0</v>
      </c>
      <c r="N75" s="899"/>
      <c r="O75" s="899"/>
      <c r="P75" s="899"/>
      <c r="Q75" s="899"/>
      <c r="R75" s="897" t="str">
        <f>IF(F75&gt;0,IF(G75/F75/1000&lt;AX75,INDEX(menuesBG!$1:$1048576,Warnung,sprache),""),"")</f>
        <v/>
      </c>
      <c r="S75" s="629">
        <f t="shared" si="49"/>
        <v>30.7</v>
      </c>
      <c r="T75" s="668">
        <f t="shared" ref="T75:U76" si="84">T$138</f>
        <v>30.7</v>
      </c>
      <c r="U75" s="668">
        <f t="shared" si="84"/>
        <v>30.7</v>
      </c>
      <c r="V75" s="629">
        <f t="shared" si="50"/>
        <v>73.900000000000006</v>
      </c>
      <c r="W75" s="668">
        <f t="shared" ref="W75:X76" si="85">W$138</f>
        <v>73.900000000000006</v>
      </c>
      <c r="X75" s="668">
        <f t="shared" si="85"/>
        <v>73.900000000000006</v>
      </c>
      <c r="Y75" s="656">
        <f t="shared" si="44"/>
        <v>2.9930555555555554</v>
      </c>
      <c r="Z75" s="668">
        <f t="shared" ref="Z75:AA77" si="86">Z$138</f>
        <v>2.3277777777777775</v>
      </c>
      <c r="AA75" s="668">
        <f t="shared" si="86"/>
        <v>3.6583333333333337</v>
      </c>
      <c r="AB75" s="665">
        <f>AVERAGE(0.04)/AVERAGE(0.5,1)*100</f>
        <v>5.3333333333333339</v>
      </c>
      <c r="AC75" s="631">
        <f t="shared" si="38"/>
        <v>1.8457175925925919</v>
      </c>
      <c r="AD75" s="666">
        <f t="shared" ref="AD75:AF77" si="87">AD$138</f>
        <v>0.61666666666666647</v>
      </c>
      <c r="AE75" s="667">
        <f t="shared" si="87"/>
        <v>45.65</v>
      </c>
      <c r="AF75" s="667">
        <f t="shared" si="87"/>
        <v>50.55</v>
      </c>
      <c r="AG75" s="629">
        <f t="shared" si="51"/>
        <v>492</v>
      </c>
      <c r="AH75" s="668">
        <f t="shared" ref="AH75:AI76" si="88">AH$138</f>
        <v>376</v>
      </c>
      <c r="AI75" s="668">
        <f t="shared" si="88"/>
        <v>608</v>
      </c>
      <c r="AJ75" s="627">
        <v>55</v>
      </c>
      <c r="AK75" s="630">
        <f t="shared" si="39"/>
        <v>270.60000000000002</v>
      </c>
      <c r="AL75" s="634">
        <f t="shared" si="46"/>
        <v>0</v>
      </c>
      <c r="AM75" s="659">
        <v>0</v>
      </c>
      <c r="AN75" s="659">
        <v>0</v>
      </c>
      <c r="AO75" s="659">
        <v>0</v>
      </c>
      <c r="AP75" s="638" t="e">
        <f t="shared" si="78"/>
        <v>#N/A</v>
      </c>
      <c r="AQ75" s="639" t="e">
        <f t="shared" si="76"/>
        <v>#N/A</v>
      </c>
      <c r="AR75" s="640" t="e">
        <f t="shared" si="79"/>
        <v>#N/A</v>
      </c>
      <c r="AS75" s="641" t="e">
        <f t="shared" si="77"/>
        <v>#DIV/0!</v>
      </c>
      <c r="AT75" s="642" t="e">
        <f>FaktorenBG!F$43*(1+FaktorenBG!F$56)*IF(Auswahl_Behandlung_fest&lt;5,$F75,0)</f>
        <v>#N/A</v>
      </c>
      <c r="AU75" s="642" t="e">
        <f>FaktorenBG!G$43*(1+FaktorenBG!G$56)*IF(Auswahl_Behandlung_fest&lt;5,$F75,0)</f>
        <v>#N/A</v>
      </c>
      <c r="AV75" s="642" t="e">
        <f>FaktorenBG!H$43*(1+FaktorenBG!H$56)*IF(Auswahl_Behandlung_fest&lt;5,$F75,0)</f>
        <v>#N/A</v>
      </c>
      <c r="AW75" s="643">
        <f t="shared" ref="AW75:AW113" si="89">IF(F75&gt;0,G75/F75/1000,0)</f>
        <v>0</v>
      </c>
      <c r="AX75" s="643" t="e">
        <f>INDEX(InputsBG!$1:$1048576,AX$2,MATCH(Substrates!$AY75,InputsBG!$38:$38,0))</f>
        <v>#N/A</v>
      </c>
      <c r="AY75" s="626" t="s">
        <v>1808</v>
      </c>
      <c r="AZ75" s="661">
        <f>IF($G75&lt;0,$G75*INDEX(InputsBG!$1:$1048576,AZ$2,MATCH(Substrates!$AY75,InputsBG!$38:$38,0))/$AX75,0)</f>
        <v>0</v>
      </c>
      <c r="BA75" s="661">
        <f>IF($G75&lt;0,$G75*INDEX(InputsBG!$1:$1048576,BA$2,MATCH(Substrates!$AY75,InputsBG!$38:$38,0))/$AX75,0)</f>
        <v>0</v>
      </c>
      <c r="BB75" s="661">
        <f>IF($G75&lt;0,$G75*INDEX(InputsBG!$1:$1048576,BB$2,MATCH(Substrates!$AY75,InputsBG!$38:$38,0))/$AX75,0)</f>
        <v>0</v>
      </c>
      <c r="BC75" s="661">
        <f>IF($G75&lt;0,$G75*INDEX(InputsBG!$1:$1048576,BC$2,MATCH(Substrates!$AY75,InputsBG!$38:$38,0))/$AX75,0)</f>
        <v>0</v>
      </c>
      <c r="BD75" s="662">
        <f t="shared" si="47"/>
        <v>0</v>
      </c>
      <c r="BE75" s="645" t="e">
        <f t="shared" si="82"/>
        <v>#DIV/0!</v>
      </c>
      <c r="BF75" s="645" t="e">
        <f t="shared" si="83"/>
        <v>#DIV/0!</v>
      </c>
      <c r="BG75" s="663"/>
      <c r="BH75" s="584"/>
      <c r="BI75" s="584"/>
      <c r="BJ75" s="584"/>
      <c r="BK75" s="584"/>
      <c r="BL75" s="584"/>
      <c r="BM75" s="584"/>
      <c r="BN75" s="584"/>
      <c r="BO75" s="584"/>
      <c r="BP75" s="584"/>
      <c r="BQ75" s="584"/>
      <c r="BR75" s="584"/>
      <c r="BS75" s="584"/>
      <c r="BT75" s="584" t="str">
        <f t="shared" si="48"/>
        <v>Potatoes IP, at farm</v>
      </c>
      <c r="BU75" s="584"/>
    </row>
    <row r="76" spans="1:73" s="878" customFormat="1">
      <c r="A76" s="933" t="s">
        <v>143</v>
      </c>
      <c r="B76" s="673" t="s">
        <v>461</v>
      </c>
      <c r="C76" s="201" t="s">
        <v>1567</v>
      </c>
      <c r="D76" s="625"/>
      <c r="E76" s="819" t="str">
        <f t="shared" si="81"/>
        <v>Sludges from food production (vegetable)</v>
      </c>
      <c r="F76" s="795">
        <v>0</v>
      </c>
      <c r="G76" s="797">
        <v>0</v>
      </c>
      <c r="H76" s="906">
        <v>0</v>
      </c>
      <c r="I76" s="906">
        <v>0</v>
      </c>
      <c r="K76" s="898"/>
      <c r="L76" s="885">
        <f t="shared" si="74"/>
        <v>0</v>
      </c>
      <c r="M76" s="899">
        <f t="shared" si="75"/>
        <v>0</v>
      </c>
      <c r="N76" s="899"/>
      <c r="O76" s="899"/>
      <c r="P76" s="899"/>
      <c r="Q76" s="899"/>
      <c r="R76" s="897" t="str">
        <f>IF(F76&gt;0,IF(G76/F76/1000&lt;AX76,INDEX(menuesBG!$1:$1048576,Warnung,sprache),""),"")</f>
        <v/>
      </c>
      <c r="S76" s="629">
        <f t="shared" si="49"/>
        <v>30.7</v>
      </c>
      <c r="T76" s="668">
        <f t="shared" si="84"/>
        <v>30.7</v>
      </c>
      <c r="U76" s="668">
        <f t="shared" si="84"/>
        <v>30.7</v>
      </c>
      <c r="V76" s="629">
        <f t="shared" si="50"/>
        <v>73.900000000000006</v>
      </c>
      <c r="W76" s="668">
        <f t="shared" si="85"/>
        <v>73.900000000000006</v>
      </c>
      <c r="X76" s="668">
        <f t="shared" si="85"/>
        <v>73.900000000000006</v>
      </c>
      <c r="Y76" s="656">
        <f t="shared" si="44"/>
        <v>2.9930555555555554</v>
      </c>
      <c r="Z76" s="668">
        <f t="shared" si="86"/>
        <v>2.3277777777777775</v>
      </c>
      <c r="AA76" s="668">
        <f t="shared" si="86"/>
        <v>3.6583333333333337</v>
      </c>
      <c r="AB76" s="654">
        <v>13</v>
      </c>
      <c r="AC76" s="631">
        <f t="shared" si="38"/>
        <v>1.8457175925925919</v>
      </c>
      <c r="AD76" s="666">
        <f t="shared" si="87"/>
        <v>0.61666666666666647</v>
      </c>
      <c r="AE76" s="667">
        <f t="shared" si="87"/>
        <v>45.65</v>
      </c>
      <c r="AF76" s="667">
        <f t="shared" si="87"/>
        <v>50.55</v>
      </c>
      <c r="AG76" s="629">
        <f t="shared" si="51"/>
        <v>492</v>
      </c>
      <c r="AH76" s="668">
        <f t="shared" si="88"/>
        <v>376</v>
      </c>
      <c r="AI76" s="668">
        <f t="shared" si="88"/>
        <v>608</v>
      </c>
      <c r="AJ76" s="627">
        <v>55</v>
      </c>
      <c r="AK76" s="630">
        <f t="shared" si="39"/>
        <v>270.60000000000002</v>
      </c>
      <c r="AL76" s="634">
        <f t="shared" si="46"/>
        <v>0</v>
      </c>
      <c r="AM76" s="659">
        <v>0</v>
      </c>
      <c r="AN76" s="659">
        <v>0</v>
      </c>
      <c r="AO76" s="659">
        <v>0</v>
      </c>
      <c r="AP76" s="638" t="e">
        <f t="shared" si="78"/>
        <v>#N/A</v>
      </c>
      <c r="AQ76" s="639" t="e">
        <f t="shared" si="76"/>
        <v>#N/A</v>
      </c>
      <c r="AR76" s="640" t="e">
        <f t="shared" si="79"/>
        <v>#N/A</v>
      </c>
      <c r="AS76" s="641" t="e">
        <f t="shared" si="77"/>
        <v>#DIV/0!</v>
      </c>
      <c r="AT76" s="642" t="e">
        <f>FaktorenBG!F$43*(1+FaktorenBG!F$56)*IF(Auswahl_Behandlung_fest&lt;5,$F76,0)</f>
        <v>#N/A</v>
      </c>
      <c r="AU76" s="642" t="e">
        <f>FaktorenBG!G$43*(1+FaktorenBG!G$56)*IF(Auswahl_Behandlung_fest&lt;5,$F76,0)</f>
        <v>#N/A</v>
      </c>
      <c r="AV76" s="642" t="e">
        <f>FaktorenBG!H$43*(1+FaktorenBG!H$56)*IF(Auswahl_Behandlung_fest&lt;5,$F76,0)</f>
        <v>#N/A</v>
      </c>
      <c r="AW76" s="643">
        <f t="shared" si="89"/>
        <v>0</v>
      </c>
      <c r="AX76" s="643" t="e">
        <f>INDEX(InputsBG!$1:$1048576,AX$2,MATCH(Substrates!$AY76,InputsBG!$38:$38,0))</f>
        <v>#N/A</v>
      </c>
      <c r="AY76" s="660" t="s">
        <v>1763</v>
      </c>
      <c r="AZ76" s="661">
        <f>IF($G76&lt;0,$G76*INDEX(InputsBG!$1:$1048576,AZ$2,MATCH(Substrates!$AY76,InputsBG!$38:$38,0))/$AX76,0)</f>
        <v>0</v>
      </c>
      <c r="BA76" s="661">
        <f>IF($G76&lt;0,$G76*INDEX(InputsBG!$1:$1048576,BA$2,MATCH(Substrates!$AY76,InputsBG!$38:$38,0))/$AX76,0)</f>
        <v>0</v>
      </c>
      <c r="BB76" s="661">
        <f>IF($G76&lt;0,$G76*INDEX(InputsBG!$1:$1048576,BB$2,MATCH(Substrates!$AY76,InputsBG!$38:$38,0))/$AX76,0)</f>
        <v>0</v>
      </c>
      <c r="BC76" s="661">
        <f>IF($G76&lt;0,$G76*INDEX(InputsBG!$1:$1048576,BC$2,MATCH(Substrates!$AY76,InputsBG!$38:$38,0))/$AX76,0)</f>
        <v>0</v>
      </c>
      <c r="BD76" s="662">
        <f t="shared" si="47"/>
        <v>0</v>
      </c>
      <c r="BE76" s="645" t="e">
        <f t="shared" si="82"/>
        <v>#DIV/0!</v>
      </c>
      <c r="BF76" s="645" t="e">
        <f t="shared" si="83"/>
        <v>#DIV/0!</v>
      </c>
      <c r="BG76" s="663"/>
      <c r="BH76" s="584"/>
      <c r="BI76" s="584"/>
      <c r="BJ76" s="584"/>
      <c r="BK76" s="584"/>
      <c r="BL76" s="584"/>
      <c r="BM76" s="584"/>
      <c r="BN76" s="584"/>
      <c r="BO76" s="584"/>
      <c r="BP76" s="584"/>
      <c r="BQ76" s="584"/>
      <c r="BR76" s="584"/>
      <c r="BS76" s="584"/>
      <c r="BT76" s="584" t="str">
        <f t="shared" si="48"/>
        <v>vegetables mean, IP, at farm</v>
      </c>
      <c r="BU76" s="584"/>
    </row>
    <row r="77" spans="1:73" s="878" customFormat="1">
      <c r="A77" s="933" t="s">
        <v>144</v>
      </c>
      <c r="B77" s="673" t="s">
        <v>505</v>
      </c>
      <c r="C77" s="201" t="s">
        <v>1626</v>
      </c>
      <c r="D77" s="625"/>
      <c r="E77" s="819" t="str">
        <f t="shared" si="81"/>
        <v>Sorting and food waste (mushrooms, vegetables, fruits, etc.)</v>
      </c>
      <c r="F77" s="795">
        <v>0</v>
      </c>
      <c r="G77" s="797">
        <v>0</v>
      </c>
      <c r="H77" s="906">
        <v>0</v>
      </c>
      <c r="I77" s="906">
        <v>0</v>
      </c>
      <c r="K77" s="898"/>
      <c r="L77" s="885">
        <f t="shared" si="74"/>
        <v>0</v>
      </c>
      <c r="M77" s="899">
        <f t="shared" si="75"/>
        <v>0</v>
      </c>
      <c r="N77" s="899"/>
      <c r="O77" s="899"/>
      <c r="P77" s="899"/>
      <c r="Q77" s="899"/>
      <c r="R77" s="897" t="str">
        <f>IF(F77&gt;0,IF(G77/F77/1000&lt;AX77,INDEX(menuesBG!$1:$1048576,Warnung,sprache),""),"")</f>
        <v/>
      </c>
      <c r="S77" s="627">
        <v>12.5</v>
      </c>
      <c r="T77" s="628"/>
      <c r="U77" s="628"/>
      <c r="V77" s="627">
        <v>90</v>
      </c>
      <c r="W77" s="628"/>
      <c r="X77" s="628"/>
      <c r="Y77" s="656">
        <f t="shared" si="44"/>
        <v>2.9930555555555554</v>
      </c>
      <c r="Z77" s="668">
        <f t="shared" si="86"/>
        <v>2.3277777777777775</v>
      </c>
      <c r="AA77" s="668">
        <f t="shared" si="86"/>
        <v>3.6583333333333337</v>
      </c>
      <c r="AB77" s="665">
        <f>AVERAGE(0.01,1.1)/AVERAGE(0.6,5)*100</f>
        <v>19.821428571428573</v>
      </c>
      <c r="AC77" s="631">
        <f t="shared" si="38"/>
        <v>1.8457175925925919</v>
      </c>
      <c r="AD77" s="666">
        <f t="shared" si="87"/>
        <v>0.61666666666666647</v>
      </c>
      <c r="AE77" s="667">
        <f t="shared" si="87"/>
        <v>45.65</v>
      </c>
      <c r="AF77" s="667">
        <f t="shared" si="87"/>
        <v>50.55</v>
      </c>
      <c r="AG77" s="627">
        <f>(AH77+AI77)/2</f>
        <v>550</v>
      </c>
      <c r="AH77" s="627">
        <v>400</v>
      </c>
      <c r="AI77" s="627">
        <v>700</v>
      </c>
      <c r="AJ77" s="627">
        <v>52</v>
      </c>
      <c r="AK77" s="630">
        <f t="shared" si="39"/>
        <v>286</v>
      </c>
      <c r="AL77" s="634">
        <f t="shared" si="46"/>
        <v>0</v>
      </c>
      <c r="AM77" s="659">
        <v>0</v>
      </c>
      <c r="AN77" s="659">
        <v>0</v>
      </c>
      <c r="AO77" s="659">
        <v>0</v>
      </c>
      <c r="AP77" s="638" t="e">
        <f t="shared" si="78"/>
        <v>#N/A</v>
      </c>
      <c r="AQ77" s="639" t="e">
        <f t="shared" si="76"/>
        <v>#N/A</v>
      </c>
      <c r="AR77" s="640" t="e">
        <f t="shared" si="79"/>
        <v>#N/A</v>
      </c>
      <c r="AS77" s="641" t="e">
        <f t="shared" si="77"/>
        <v>#DIV/0!</v>
      </c>
      <c r="AT77" s="642" t="e">
        <f>FaktorenBG!F$43*(1+FaktorenBG!F$56)*IF(Auswahl_Behandlung_fest&lt;5,$F77,0)</f>
        <v>#N/A</v>
      </c>
      <c r="AU77" s="642" t="e">
        <f>FaktorenBG!G$43*(1+FaktorenBG!G$56)*IF(Auswahl_Behandlung_fest&lt;5,$F77,0)</f>
        <v>#N/A</v>
      </c>
      <c r="AV77" s="642" t="e">
        <f>FaktorenBG!H$43*(1+FaktorenBG!H$56)*IF(Auswahl_Behandlung_fest&lt;5,$F77,0)</f>
        <v>#N/A</v>
      </c>
      <c r="AW77" s="643">
        <f t="shared" si="89"/>
        <v>0</v>
      </c>
      <c r="AX77" s="643" t="e">
        <f>INDEX(InputsBG!$1:$1048576,AX$2,MATCH(Substrates!$AY77,InputsBG!$38:$38,0))</f>
        <v>#N/A</v>
      </c>
      <c r="AY77" s="660" t="s">
        <v>1763</v>
      </c>
      <c r="AZ77" s="661">
        <f>IF($G77&lt;0,$G77*INDEX(InputsBG!$1:$1048576,AZ$2,MATCH(Substrates!$AY77,InputsBG!$38:$38,0))/$AX77,0)</f>
        <v>0</v>
      </c>
      <c r="BA77" s="661">
        <f>IF($G77&lt;0,$G77*INDEX(InputsBG!$1:$1048576,BA$2,MATCH(Substrates!$AY77,InputsBG!$38:$38,0))/$AX77,0)</f>
        <v>0</v>
      </c>
      <c r="BB77" s="661">
        <f>IF($G77&lt;0,$G77*INDEX(InputsBG!$1:$1048576,BB$2,MATCH(Substrates!$AY77,InputsBG!$38:$38,0))/$AX77,0)</f>
        <v>0</v>
      </c>
      <c r="BC77" s="661">
        <f>IF($G77&lt;0,$G77*INDEX(InputsBG!$1:$1048576,BC$2,MATCH(Substrates!$AY77,InputsBG!$38:$38,0))/$AX77,0)</f>
        <v>0</v>
      </c>
      <c r="BD77" s="662">
        <f t="shared" si="47"/>
        <v>0</v>
      </c>
      <c r="BE77" s="645" t="e">
        <f t="shared" si="82"/>
        <v>#DIV/0!</v>
      </c>
      <c r="BF77" s="645" t="e">
        <f t="shared" si="83"/>
        <v>#DIV/0!</v>
      </c>
      <c r="BG77" s="663"/>
      <c r="BH77" s="584"/>
      <c r="BI77" s="584"/>
      <c r="BJ77" s="584"/>
      <c r="BK77" s="584"/>
      <c r="BL77" s="584"/>
      <c r="BM77" s="584"/>
      <c r="BN77" s="584"/>
      <c r="BO77" s="584"/>
      <c r="BP77" s="584"/>
      <c r="BQ77" s="584"/>
      <c r="BR77" s="584"/>
      <c r="BS77" s="584"/>
      <c r="BT77" s="584" t="str">
        <f t="shared" si="48"/>
        <v>vegetables mean, IP, at farm</v>
      </c>
      <c r="BU77" s="584"/>
    </row>
    <row r="78" spans="1:73" s="878" customFormat="1">
      <c r="A78" s="933" t="s">
        <v>130</v>
      </c>
      <c r="B78" s="673" t="s">
        <v>499</v>
      </c>
      <c r="C78" s="201" t="s">
        <v>1568</v>
      </c>
      <c r="D78" s="625"/>
      <c r="E78" s="819" t="str">
        <f t="shared" si="81"/>
        <v>Edible oil waste, edible fat waste, residues and sludges from oil and fat separators (not treated)</v>
      </c>
      <c r="F78" s="795">
        <v>0</v>
      </c>
      <c r="G78" s="797">
        <v>0</v>
      </c>
      <c r="H78" s="906">
        <v>0</v>
      </c>
      <c r="I78" s="906">
        <v>0</v>
      </c>
      <c r="K78" s="898"/>
      <c r="L78" s="885">
        <f t="shared" si="74"/>
        <v>0</v>
      </c>
      <c r="M78" s="899">
        <f t="shared" si="75"/>
        <v>0</v>
      </c>
      <c r="N78" s="899"/>
      <c r="O78" s="899"/>
      <c r="P78" s="899"/>
      <c r="Q78" s="899"/>
      <c r="R78" s="897" t="str">
        <f>IF(F78&gt;0,IF(G78/F78/1000&lt;AX78,INDEX(menuesBG!$1:$1048576,Warnung,sprache),""),"")</f>
        <v/>
      </c>
      <c r="S78" s="629">
        <f t="shared" si="49"/>
        <v>99</v>
      </c>
      <c r="T78" s="628">
        <v>98</v>
      </c>
      <c r="U78" s="628">
        <v>100</v>
      </c>
      <c r="V78" s="629">
        <f t="shared" si="50"/>
        <v>99.5</v>
      </c>
      <c r="W78" s="628">
        <v>99</v>
      </c>
      <c r="X78" s="628">
        <v>100</v>
      </c>
      <c r="Y78" s="656">
        <f t="shared" si="44"/>
        <v>0.45</v>
      </c>
      <c r="Z78" s="628">
        <v>0.1</v>
      </c>
      <c r="AA78" s="628">
        <v>0.8</v>
      </c>
      <c r="AB78" s="665">
        <f>AVERAGE(0.02,1.5)/AVERAGE(0.1,3.6)*100</f>
        <v>41.081081081081081</v>
      </c>
      <c r="AC78" s="631">
        <f t="shared" si="38"/>
        <v>0.1125</v>
      </c>
      <c r="AD78" s="657">
        <v>0.25</v>
      </c>
      <c r="AE78" s="633"/>
      <c r="AF78" s="633"/>
      <c r="AG78" s="629">
        <f t="shared" si="51"/>
        <v>1100</v>
      </c>
      <c r="AH78" s="658">
        <v>1000</v>
      </c>
      <c r="AI78" s="658">
        <v>1200</v>
      </c>
      <c r="AJ78" s="627">
        <v>67</v>
      </c>
      <c r="AK78" s="630">
        <f t="shared" si="39"/>
        <v>737</v>
      </c>
      <c r="AL78" s="634">
        <f t="shared" si="46"/>
        <v>0</v>
      </c>
      <c r="AM78" s="659">
        <v>0</v>
      </c>
      <c r="AN78" s="659">
        <v>0</v>
      </c>
      <c r="AO78" s="659">
        <v>0</v>
      </c>
      <c r="AP78" s="638" t="e">
        <f t="shared" si="78"/>
        <v>#N/A</v>
      </c>
      <c r="AQ78" s="639" t="e">
        <f t="shared" si="76"/>
        <v>#N/A</v>
      </c>
      <c r="AR78" s="640" t="e">
        <f t="shared" si="79"/>
        <v>#N/A</v>
      </c>
      <c r="AS78" s="641" t="e">
        <f t="shared" si="77"/>
        <v>#DIV/0!</v>
      </c>
      <c r="AT78" s="642" t="e">
        <f>FaktorenBG!F$43*(1+FaktorenBG!F$56)*IF(Auswahl_Behandlung_fest&lt;5,$F78,0)</f>
        <v>#N/A</v>
      </c>
      <c r="AU78" s="642" t="e">
        <f>FaktorenBG!G$43*(1+FaktorenBG!G$56)*IF(Auswahl_Behandlung_fest&lt;5,$F78,0)</f>
        <v>#N/A</v>
      </c>
      <c r="AV78" s="642" t="e">
        <f>FaktorenBG!H$43*(1+FaktorenBG!H$56)*IF(Auswahl_Behandlung_fest&lt;5,$F78,0)</f>
        <v>#N/A</v>
      </c>
      <c r="AW78" s="643">
        <f t="shared" si="89"/>
        <v>0</v>
      </c>
      <c r="AX78" s="643" t="e">
        <f>INDEX(InputsBG!$1:$1048576,AX$2,MATCH(Substrates!$AY78,InputsBG!$38:$38,0))</f>
        <v>#N/A</v>
      </c>
      <c r="AY78" s="626" t="s">
        <v>1943</v>
      </c>
      <c r="AZ78" s="661">
        <f>IF($G78&lt;0,$G78*INDEX(InputsBG!$1:$1048576,AZ$2,MATCH(Substrates!$AY78,InputsBG!$38:$38,0))/$AX78,0)</f>
        <v>0</v>
      </c>
      <c r="BA78" s="661">
        <f>IF($G78&lt;0,$G78*INDEX(InputsBG!$1:$1048576,BA$2,MATCH(Substrates!$AY78,InputsBG!$38:$38,0))/$AX78,0)</f>
        <v>0</v>
      </c>
      <c r="BB78" s="661">
        <f>IF($G78&lt;0,$G78*INDEX(InputsBG!$1:$1048576,BB$2,MATCH(Substrates!$AY78,InputsBG!$38:$38,0))/$AX78,0)</f>
        <v>0</v>
      </c>
      <c r="BC78" s="661">
        <f>IF($G78&lt;0,$G78*INDEX(InputsBG!$1:$1048576,BC$2,MATCH(Substrates!$AY78,InputsBG!$38:$38,0))/$AX78,0)</f>
        <v>0</v>
      </c>
      <c r="BD78" s="662">
        <f t="shared" si="47"/>
        <v>0</v>
      </c>
      <c r="BE78" s="645" t="e">
        <f t="shared" si="82"/>
        <v>#DIV/0!</v>
      </c>
      <c r="BF78" s="645" t="e">
        <f t="shared" si="83"/>
        <v>#DIV/0!</v>
      </c>
      <c r="BG78" s="663"/>
      <c r="BH78" s="584"/>
      <c r="BI78" s="584"/>
      <c r="BJ78" s="584"/>
      <c r="BK78" s="584"/>
      <c r="BL78" s="584"/>
      <c r="BM78" s="584"/>
      <c r="BN78" s="584"/>
      <c r="BO78" s="584"/>
      <c r="BP78" s="584"/>
      <c r="BQ78" s="584"/>
      <c r="BR78" s="584"/>
      <c r="BS78" s="584"/>
      <c r="BT78" s="584" t="str">
        <f t="shared" si="48"/>
        <v>Rape oil, at oil mill</v>
      </c>
      <c r="BU78" s="584"/>
    </row>
    <row r="79" spans="1:73" s="878" customFormat="1">
      <c r="A79" s="933" t="s">
        <v>145</v>
      </c>
      <c r="B79" s="673" t="s">
        <v>762</v>
      </c>
      <c r="C79" s="201" t="s">
        <v>1569</v>
      </c>
      <c r="D79" s="625"/>
      <c r="E79" s="819" t="str">
        <f t="shared" si="81"/>
        <v>Food leftovers from catering establishments</v>
      </c>
      <c r="F79" s="795">
        <v>0</v>
      </c>
      <c r="G79" s="797">
        <v>0</v>
      </c>
      <c r="H79" s="906">
        <v>0</v>
      </c>
      <c r="I79" s="906">
        <v>0</v>
      </c>
      <c r="K79" s="898"/>
      <c r="L79" s="885">
        <f t="shared" si="74"/>
        <v>0</v>
      </c>
      <c r="M79" s="899">
        <f t="shared" si="75"/>
        <v>0</v>
      </c>
      <c r="N79" s="899"/>
      <c r="O79" s="899"/>
      <c r="P79" s="899"/>
      <c r="Q79" s="899"/>
      <c r="R79" s="897" t="str">
        <f>IF(F79&gt;0,IF(G79/F79/1000&lt;AX79,INDEX(menuesBG!$1:$1048576,Warnung,sprache),""),"")</f>
        <v/>
      </c>
      <c r="S79" s="629">
        <f t="shared" si="49"/>
        <v>26</v>
      </c>
      <c r="T79" s="675">
        <v>15</v>
      </c>
      <c r="U79" s="628">
        <v>37</v>
      </c>
      <c r="V79" s="629">
        <f>(W79+X79)/2</f>
        <v>89</v>
      </c>
      <c r="W79" s="628">
        <v>80</v>
      </c>
      <c r="X79" s="628">
        <v>98</v>
      </c>
      <c r="Y79" s="656">
        <f t="shared" si="44"/>
        <v>3</v>
      </c>
      <c r="Z79" s="628">
        <v>1</v>
      </c>
      <c r="AA79" s="628">
        <v>5</v>
      </c>
      <c r="AB79" s="665">
        <f>AVERAGE(0.01,1.1)/AVERAGE(0.6,5)*100</f>
        <v>19.821428571428573</v>
      </c>
      <c r="AC79" s="631">
        <f>AD79*Y79</f>
        <v>1.9500000000000002</v>
      </c>
      <c r="AD79" s="657">
        <v>0.65</v>
      </c>
      <c r="AE79" s="633"/>
      <c r="AF79" s="633"/>
      <c r="AG79" s="629">
        <f>(AH79+AI79)/2</f>
        <v>555</v>
      </c>
      <c r="AH79" s="628">
        <v>460</v>
      </c>
      <c r="AI79" s="628">
        <v>650</v>
      </c>
      <c r="AJ79" s="627">
        <v>61</v>
      </c>
      <c r="AK79" s="630">
        <f t="shared" si="39"/>
        <v>338.55</v>
      </c>
      <c r="AL79" s="634">
        <f t="shared" si="46"/>
        <v>0</v>
      </c>
      <c r="AM79" s="659">
        <v>0</v>
      </c>
      <c r="AN79" s="659">
        <v>0</v>
      </c>
      <c r="AO79" s="659">
        <v>0</v>
      </c>
      <c r="AP79" s="638" t="e">
        <f t="shared" si="78"/>
        <v>#N/A</v>
      </c>
      <c r="AQ79" s="639" t="e">
        <f t="shared" si="76"/>
        <v>#N/A</v>
      </c>
      <c r="AR79" s="640" t="e">
        <f t="shared" si="79"/>
        <v>#N/A</v>
      </c>
      <c r="AS79" s="641" t="e">
        <f t="shared" si="77"/>
        <v>#DIV/0!</v>
      </c>
      <c r="AT79" s="642" t="e">
        <f>FaktorenBG!F$43*(1+FaktorenBG!F$56)*IF(Auswahl_Behandlung_fest&lt;5,$F79,0)</f>
        <v>#N/A</v>
      </c>
      <c r="AU79" s="642" t="e">
        <f>FaktorenBG!G$43*(1+FaktorenBG!G$56)*IF(Auswahl_Behandlung_fest&lt;5,$F79,0)</f>
        <v>#N/A</v>
      </c>
      <c r="AV79" s="642" t="e">
        <f>FaktorenBG!H$43*(1+FaktorenBG!H$56)*IF(Auswahl_Behandlung_fest&lt;5,$F79,0)</f>
        <v>#N/A</v>
      </c>
      <c r="AW79" s="643">
        <f t="shared" si="89"/>
        <v>0</v>
      </c>
      <c r="AX79" s="643" t="e">
        <f>INDEX(InputsBG!$1:$1048576,AX$2,MATCH(Substrates!$AY79,InputsBG!$38:$38,0))</f>
        <v>#N/A</v>
      </c>
      <c r="AY79" s="669" t="s">
        <v>893</v>
      </c>
      <c r="AZ79" s="661">
        <f>IF($G79&lt;0,$G79*INDEX(InputsBG!$1:$1048576,AZ$2,MATCH(Substrates!$AY79,InputsBG!$38:$38,0))/$AX79,0)</f>
        <v>0</v>
      </c>
      <c r="BA79" s="661">
        <f>IF($G79&lt;0,$G79*INDEX(InputsBG!$1:$1048576,BA$2,MATCH(Substrates!$AY79,InputsBG!$38:$38,0))/$AX79,0)</f>
        <v>0</v>
      </c>
      <c r="BB79" s="661">
        <f>IF($G79&lt;0,$G79*INDEX(InputsBG!$1:$1048576,BB$2,MATCH(Substrates!$AY79,InputsBG!$38:$38,0))/$AX79,0)</f>
        <v>0</v>
      </c>
      <c r="BC79" s="661">
        <f>IF($G79&lt;0,$G79*INDEX(InputsBG!$1:$1048576,BC$2,MATCH(Substrates!$AY79,InputsBG!$38:$38,0))/$AX79,0)</f>
        <v>0</v>
      </c>
      <c r="BD79" s="662">
        <f t="shared" si="47"/>
        <v>0</v>
      </c>
      <c r="BE79" s="645" t="e">
        <f t="shared" si="82"/>
        <v>#DIV/0!</v>
      </c>
      <c r="BF79" s="645" t="e">
        <f t="shared" si="83"/>
        <v>#DIV/0!</v>
      </c>
      <c r="BG79" s="663"/>
      <c r="BH79" s="584"/>
      <c r="BI79" s="584"/>
      <c r="BJ79" s="584"/>
      <c r="BK79" s="584"/>
      <c r="BL79" s="584"/>
      <c r="BM79" s="584"/>
      <c r="BN79" s="584"/>
      <c r="BO79" s="584"/>
      <c r="BP79" s="584"/>
      <c r="BQ79" s="584"/>
      <c r="BR79" s="584"/>
      <c r="BS79" s="584"/>
      <c r="BT79" s="584" t="e">
        <f t="shared" si="48"/>
        <v>#VALUE!</v>
      </c>
      <c r="BU79" s="584"/>
    </row>
    <row r="80" spans="1:73" s="878" customFormat="1">
      <c r="A80" s="933" t="s">
        <v>146</v>
      </c>
      <c r="B80" s="673" t="s">
        <v>500</v>
      </c>
      <c r="C80" s="201" t="s">
        <v>1570</v>
      </c>
      <c r="D80" s="674"/>
      <c r="E80" s="819" t="str">
        <f t="shared" si="81"/>
        <v>Tobacco, tobacco dust, tobacco breeze, tobacco ribs, tobacco sludge</v>
      </c>
      <c r="F80" s="795">
        <v>0</v>
      </c>
      <c r="G80" s="797">
        <v>0</v>
      </c>
      <c r="H80" s="906">
        <v>0</v>
      </c>
      <c r="I80" s="906">
        <v>0</v>
      </c>
      <c r="K80" s="898"/>
      <c r="L80" s="885">
        <f t="shared" si="74"/>
        <v>0</v>
      </c>
      <c r="M80" s="899">
        <f t="shared" si="75"/>
        <v>0</v>
      </c>
      <c r="N80" s="899"/>
      <c r="O80" s="899"/>
      <c r="P80" s="899"/>
      <c r="Q80" s="899"/>
      <c r="R80" s="897" t="str">
        <f>IF(F80&gt;0,IF(G80/F80/1000&lt;AX80,INDEX(menuesBG!$1:$1048576,Warnung,sprache),""),"")</f>
        <v/>
      </c>
      <c r="S80" s="629">
        <f t="shared" si="49"/>
        <v>30.7</v>
      </c>
      <c r="T80" s="668">
        <f>T$138</f>
        <v>30.7</v>
      </c>
      <c r="U80" s="668">
        <f>U$138</f>
        <v>30.7</v>
      </c>
      <c r="V80" s="629">
        <f t="shared" si="50"/>
        <v>73.900000000000006</v>
      </c>
      <c r="W80" s="668">
        <f>W$138</f>
        <v>73.900000000000006</v>
      </c>
      <c r="X80" s="668">
        <f>X$138</f>
        <v>73.900000000000006</v>
      </c>
      <c r="Y80" s="656">
        <f t="shared" si="44"/>
        <v>2.9930555555555554</v>
      </c>
      <c r="Z80" s="668">
        <f>Z$138</f>
        <v>2.3277777777777775</v>
      </c>
      <c r="AA80" s="668">
        <f>AA$138</f>
        <v>3.6583333333333337</v>
      </c>
      <c r="AB80" s="654">
        <v>13</v>
      </c>
      <c r="AC80" s="631">
        <f t="shared" si="38"/>
        <v>1.8457175925925919</v>
      </c>
      <c r="AD80" s="666">
        <f t="shared" ref="AD80:AF81" si="90">AD$138</f>
        <v>0.61666666666666647</v>
      </c>
      <c r="AE80" s="667">
        <f t="shared" si="90"/>
        <v>45.65</v>
      </c>
      <c r="AF80" s="667">
        <f t="shared" si="90"/>
        <v>50.55</v>
      </c>
      <c r="AG80" s="629">
        <f t="shared" si="51"/>
        <v>492</v>
      </c>
      <c r="AH80" s="668">
        <f>AH$138</f>
        <v>376</v>
      </c>
      <c r="AI80" s="668">
        <f>AI$138</f>
        <v>608</v>
      </c>
      <c r="AJ80" s="627">
        <v>57</v>
      </c>
      <c r="AK80" s="630">
        <f t="shared" si="39"/>
        <v>280.44</v>
      </c>
      <c r="AL80" s="634">
        <f t="shared" si="46"/>
        <v>0</v>
      </c>
      <c r="AM80" s="659">
        <v>0</v>
      </c>
      <c r="AN80" s="659">
        <v>0</v>
      </c>
      <c r="AO80" s="659">
        <v>0</v>
      </c>
      <c r="AP80" s="638" t="e">
        <f t="shared" si="78"/>
        <v>#N/A</v>
      </c>
      <c r="AQ80" s="639" t="e">
        <f t="shared" si="76"/>
        <v>#N/A</v>
      </c>
      <c r="AR80" s="640" t="e">
        <f t="shared" si="79"/>
        <v>#N/A</v>
      </c>
      <c r="AS80" s="641" t="e">
        <f t="shared" si="77"/>
        <v>#DIV/0!</v>
      </c>
      <c r="AT80" s="642" t="e">
        <f>FaktorenBG!F$43*(1+FaktorenBG!F$56)*IF(Auswahl_Behandlung_fest&lt;5,$F80,0)</f>
        <v>#N/A</v>
      </c>
      <c r="AU80" s="642" t="e">
        <f>FaktorenBG!G$43*(1+FaktorenBG!G$56)*IF(Auswahl_Behandlung_fest&lt;5,$F80,0)</f>
        <v>#N/A</v>
      </c>
      <c r="AV80" s="642" t="e">
        <f>FaktorenBG!H$43*(1+FaktorenBG!H$56)*IF(Auswahl_Behandlung_fest&lt;5,$F80,0)</f>
        <v>#N/A</v>
      </c>
      <c r="AW80" s="643">
        <f t="shared" si="89"/>
        <v>0</v>
      </c>
      <c r="AX80" s="643" t="e">
        <f>INDEX(InputsBG!$1:$1048576,AX$2,MATCH(Substrates!$AY80,InputsBG!$38:$38,0))</f>
        <v>#N/A</v>
      </c>
      <c r="AY80" s="669" t="s">
        <v>893</v>
      </c>
      <c r="AZ80" s="661">
        <f>IF($G80&lt;0,$G80*INDEX(InputsBG!$1:$1048576,AZ$2,MATCH(Substrates!$AY80,InputsBG!$38:$38,0))/$AX80,0)</f>
        <v>0</v>
      </c>
      <c r="BA80" s="661">
        <f>IF($G80&lt;0,$G80*INDEX(InputsBG!$1:$1048576,BA$2,MATCH(Substrates!$AY80,InputsBG!$38:$38,0))/$AX80,0)</f>
        <v>0</v>
      </c>
      <c r="BB80" s="661">
        <f>IF($G80&lt;0,$G80*INDEX(InputsBG!$1:$1048576,BB$2,MATCH(Substrates!$AY80,InputsBG!$38:$38,0))/$AX80,0)</f>
        <v>0</v>
      </c>
      <c r="BC80" s="661">
        <f>IF($G80&lt;0,$G80*INDEX(InputsBG!$1:$1048576,BC$2,MATCH(Substrates!$AY80,InputsBG!$38:$38,0))/$AX80,0)</f>
        <v>0</v>
      </c>
      <c r="BD80" s="662">
        <f t="shared" si="47"/>
        <v>0</v>
      </c>
      <c r="BE80" s="645" t="e">
        <f t="shared" si="82"/>
        <v>#DIV/0!</v>
      </c>
      <c r="BF80" s="645" t="e">
        <f t="shared" si="83"/>
        <v>#DIV/0!</v>
      </c>
      <c r="BG80" s="663"/>
      <c r="BH80" s="584"/>
      <c r="BI80" s="584"/>
      <c r="BJ80" s="584"/>
      <c r="BK80" s="584"/>
      <c r="BL80" s="584"/>
      <c r="BM80" s="584"/>
      <c r="BN80" s="584"/>
      <c r="BO80" s="584"/>
      <c r="BP80" s="584"/>
      <c r="BQ80" s="584"/>
      <c r="BR80" s="584"/>
      <c r="BS80" s="584"/>
      <c r="BT80" s="584" t="e">
        <f t="shared" si="48"/>
        <v>#VALUE!</v>
      </c>
      <c r="BU80" s="584"/>
    </row>
    <row r="81" spans="1:73" s="878" customFormat="1">
      <c r="A81" s="933" t="s">
        <v>147</v>
      </c>
      <c r="B81" s="673" t="s">
        <v>462</v>
      </c>
      <c r="C81" s="201" t="s">
        <v>1571</v>
      </c>
      <c r="D81" s="625"/>
      <c r="E81" s="819" t="str">
        <f t="shared" si="81"/>
        <v>Tea grains, tea substitutes, waste from production and preparation of tea</v>
      </c>
      <c r="F81" s="795">
        <v>0</v>
      </c>
      <c r="G81" s="797">
        <v>0</v>
      </c>
      <c r="H81" s="906">
        <v>0</v>
      </c>
      <c r="I81" s="906">
        <v>0</v>
      </c>
      <c r="K81" s="898"/>
      <c r="L81" s="885">
        <f t="shared" si="74"/>
        <v>0</v>
      </c>
      <c r="M81" s="899">
        <f t="shared" si="75"/>
        <v>0</v>
      </c>
      <c r="N81" s="899"/>
      <c r="O81" s="899"/>
      <c r="P81" s="899"/>
      <c r="Q81" s="899"/>
      <c r="R81" s="897" t="str">
        <f>IF(F81&gt;0,IF(G81/F81/1000&lt;AX81,INDEX(menuesBG!$1:$1048576,Warnung,sprache),""),"")</f>
        <v/>
      </c>
      <c r="S81" s="627">
        <v>13.5</v>
      </c>
      <c r="T81" s="628"/>
      <c r="U81" s="628"/>
      <c r="V81" s="629">
        <f t="shared" si="50"/>
        <v>73.900000000000006</v>
      </c>
      <c r="W81" s="668">
        <f>W$138</f>
        <v>73.900000000000006</v>
      </c>
      <c r="X81" s="668">
        <f>X$138</f>
        <v>73.900000000000006</v>
      </c>
      <c r="Y81" s="656">
        <f t="shared" si="44"/>
        <v>2.9930555555555554</v>
      </c>
      <c r="Z81" s="668">
        <f>Z$138</f>
        <v>2.3277777777777775</v>
      </c>
      <c r="AA81" s="668">
        <f>AA$138</f>
        <v>3.6583333333333337</v>
      </c>
      <c r="AB81" s="654">
        <v>13</v>
      </c>
      <c r="AC81" s="631">
        <f t="shared" si="38"/>
        <v>1.8457175925925919</v>
      </c>
      <c r="AD81" s="666">
        <f t="shared" si="90"/>
        <v>0.61666666666666647</v>
      </c>
      <c r="AE81" s="667">
        <f t="shared" si="90"/>
        <v>45.65</v>
      </c>
      <c r="AF81" s="667">
        <f t="shared" si="90"/>
        <v>50.55</v>
      </c>
      <c r="AG81" s="629">
        <f t="shared" si="51"/>
        <v>492</v>
      </c>
      <c r="AH81" s="668">
        <f>AH$138</f>
        <v>376</v>
      </c>
      <c r="AI81" s="668">
        <f>AI$138</f>
        <v>608</v>
      </c>
      <c r="AJ81" s="627">
        <v>57</v>
      </c>
      <c r="AK81" s="630">
        <f t="shared" si="39"/>
        <v>280.44</v>
      </c>
      <c r="AL81" s="634">
        <f t="shared" si="46"/>
        <v>0</v>
      </c>
      <c r="AM81" s="659">
        <v>0</v>
      </c>
      <c r="AN81" s="659">
        <v>0</v>
      </c>
      <c r="AO81" s="659">
        <v>0</v>
      </c>
      <c r="AP81" s="638" t="e">
        <f t="shared" si="78"/>
        <v>#N/A</v>
      </c>
      <c r="AQ81" s="639" t="e">
        <f t="shared" si="76"/>
        <v>#N/A</v>
      </c>
      <c r="AR81" s="640" t="e">
        <f t="shared" si="79"/>
        <v>#N/A</v>
      </c>
      <c r="AS81" s="641" t="e">
        <f t="shared" si="77"/>
        <v>#DIV/0!</v>
      </c>
      <c r="AT81" s="642" t="e">
        <f>FaktorenBG!F$43*(1+FaktorenBG!F$56)*IF(Auswahl_Behandlung_fest&lt;5,$F81,0)</f>
        <v>#N/A</v>
      </c>
      <c r="AU81" s="642" t="e">
        <f>FaktorenBG!G$43*(1+FaktorenBG!G$56)*IF(Auswahl_Behandlung_fest&lt;5,$F81,0)</f>
        <v>#N/A</v>
      </c>
      <c r="AV81" s="642" t="e">
        <f>FaktorenBG!H$43*(1+FaktorenBG!H$56)*IF(Auswahl_Behandlung_fest&lt;5,$F81,0)</f>
        <v>#N/A</v>
      </c>
      <c r="AW81" s="643">
        <f t="shared" si="89"/>
        <v>0</v>
      </c>
      <c r="AX81" s="643" t="e">
        <f>INDEX(InputsBG!$1:$1048576,AX$2,MATCH(Substrates!$AY81,InputsBG!$38:$38,0))</f>
        <v>#N/A</v>
      </c>
      <c r="AY81" s="1049" t="s">
        <v>1763</v>
      </c>
      <c r="AZ81" s="661">
        <f>IF($G81&lt;0,$G81*INDEX(InputsBG!$1:$1048576,AZ$2,MATCH(Substrates!$AY81,InputsBG!$38:$38,0))/$AX81,0)</f>
        <v>0</v>
      </c>
      <c r="BA81" s="661">
        <f>IF($G81&lt;0,$G81*INDEX(InputsBG!$1:$1048576,BA$2,MATCH(Substrates!$AY81,InputsBG!$38:$38,0))/$AX81,0)</f>
        <v>0</v>
      </c>
      <c r="BB81" s="661">
        <f>IF($G81&lt;0,$G81*INDEX(InputsBG!$1:$1048576,BB$2,MATCH(Substrates!$AY81,InputsBG!$38:$38,0))/$AX81,0)</f>
        <v>0</v>
      </c>
      <c r="BC81" s="661">
        <f>IF($G81&lt;0,$G81*INDEX(InputsBG!$1:$1048576,BC$2,MATCH(Substrates!$AY81,InputsBG!$38:$38,0))/$AX81,0)</f>
        <v>0</v>
      </c>
      <c r="BD81" s="662">
        <f t="shared" si="47"/>
        <v>0</v>
      </c>
      <c r="BE81" s="645" t="e">
        <f t="shared" si="82"/>
        <v>#DIV/0!</v>
      </c>
      <c r="BF81" s="645" t="e">
        <f t="shared" si="83"/>
        <v>#DIV/0!</v>
      </c>
      <c r="BG81" s="663"/>
      <c r="BH81" s="584"/>
      <c r="BI81" s="584"/>
      <c r="BJ81" s="584"/>
      <c r="BK81" s="584"/>
      <c r="BL81" s="584"/>
      <c r="BM81" s="584"/>
      <c r="BN81" s="584"/>
      <c r="BO81" s="584"/>
      <c r="BP81" s="584"/>
      <c r="BQ81" s="584"/>
      <c r="BR81" s="584"/>
      <c r="BS81" s="584"/>
      <c r="BT81" s="584" t="str">
        <f t="shared" si="48"/>
        <v>vegetables mean, IP, at farm</v>
      </c>
      <c r="BU81" s="584"/>
    </row>
    <row r="82" spans="1:73" s="878" customFormat="1">
      <c r="A82" s="673" t="s">
        <v>103</v>
      </c>
      <c r="B82" s="673" t="s">
        <v>463</v>
      </c>
      <c r="C82" s="201" t="s">
        <v>1572</v>
      </c>
      <c r="D82" s="625"/>
      <c r="E82" s="819" t="str">
        <f t="shared" si="81"/>
        <v>Grape marc</v>
      </c>
      <c r="F82" s="795">
        <v>0</v>
      </c>
      <c r="G82" s="797">
        <v>0</v>
      </c>
      <c r="H82" s="906">
        <v>0</v>
      </c>
      <c r="I82" s="906">
        <v>0</v>
      </c>
      <c r="K82" s="898"/>
      <c r="L82" s="885">
        <f t="shared" ref="L82:L88" si="91">F82*S82*V82/10</f>
        <v>0</v>
      </c>
      <c r="M82" s="899">
        <f t="shared" ref="M82:M88" si="92">F82*S82*V82/10000*AG82</f>
        <v>0</v>
      </c>
      <c r="N82" s="899"/>
      <c r="O82" s="899"/>
      <c r="P82" s="899"/>
      <c r="Q82" s="899"/>
      <c r="R82" s="897" t="str">
        <f>IF(F82&gt;0,IF(G82/F82/1000&lt;AX82,INDEX(menuesBG!$1:$1048576,Warnung,sprache),""),"")</f>
        <v/>
      </c>
      <c r="S82" s="629">
        <f t="shared" si="49"/>
        <v>45</v>
      </c>
      <c r="T82" s="628">
        <v>40</v>
      </c>
      <c r="U82" s="628">
        <v>50</v>
      </c>
      <c r="V82" s="629">
        <f t="shared" si="50"/>
        <v>87</v>
      </c>
      <c r="W82" s="628">
        <v>80</v>
      </c>
      <c r="X82" s="628">
        <v>94</v>
      </c>
      <c r="Y82" s="656">
        <f t="shared" si="44"/>
        <v>2.25</v>
      </c>
      <c r="Z82" s="628">
        <v>1.5</v>
      </c>
      <c r="AA82" s="628">
        <v>3</v>
      </c>
      <c r="AB82" s="654">
        <v>13</v>
      </c>
      <c r="AC82" s="631">
        <f t="shared" si="38"/>
        <v>1.4625000000000001</v>
      </c>
      <c r="AD82" s="657">
        <v>0.65</v>
      </c>
      <c r="AE82" s="633"/>
      <c r="AF82" s="633"/>
      <c r="AG82" s="629">
        <f t="shared" si="51"/>
        <v>590</v>
      </c>
      <c r="AH82" s="658">
        <v>490</v>
      </c>
      <c r="AI82" s="658">
        <v>690</v>
      </c>
      <c r="AJ82" s="627">
        <v>65</v>
      </c>
      <c r="AK82" s="630">
        <f t="shared" si="39"/>
        <v>383.5</v>
      </c>
      <c r="AL82" s="634">
        <f t="shared" si="46"/>
        <v>0</v>
      </c>
      <c r="AM82" s="659">
        <v>0</v>
      </c>
      <c r="AN82" s="659">
        <v>0</v>
      </c>
      <c r="AO82" s="659">
        <v>0</v>
      </c>
      <c r="AP82" s="638" t="e">
        <f t="shared" si="78"/>
        <v>#N/A</v>
      </c>
      <c r="AQ82" s="639" t="e">
        <f t="shared" si="76"/>
        <v>#N/A</v>
      </c>
      <c r="AR82" s="640" t="e">
        <f t="shared" si="79"/>
        <v>#N/A</v>
      </c>
      <c r="AS82" s="641" t="e">
        <f t="shared" si="77"/>
        <v>#DIV/0!</v>
      </c>
      <c r="AT82" s="642" t="e">
        <f>FaktorenBG!F$43*(1+FaktorenBG!F$56)*IF(Auswahl_Behandlung_fest&lt;5,$F82,0)</f>
        <v>#N/A</v>
      </c>
      <c r="AU82" s="642" t="e">
        <f>FaktorenBG!G$43*(1+FaktorenBG!G$56)*IF(Auswahl_Behandlung_fest&lt;5,$F82,0)</f>
        <v>#N/A</v>
      </c>
      <c r="AV82" s="642" t="e">
        <f>FaktorenBG!H$43*(1+FaktorenBG!H$56)*IF(Auswahl_Behandlung_fest&lt;5,$F82,0)</f>
        <v>#N/A</v>
      </c>
      <c r="AW82" s="643">
        <f t="shared" si="89"/>
        <v>0</v>
      </c>
      <c r="AX82" s="643" t="e">
        <f>INDEX(InputsBG!$1:$1048576,AX$2,MATCH(Substrates!$AY82,InputsBG!$38:$38,0))</f>
        <v>#N/A</v>
      </c>
      <c r="AY82" s="669" t="s">
        <v>893</v>
      </c>
      <c r="AZ82" s="661">
        <f>IF($G82&lt;0,$G82*INDEX(InputsBG!$1:$1048576,AZ$2,MATCH(Substrates!$AY82,InputsBG!$38:$38,0))/$AX82,0)</f>
        <v>0</v>
      </c>
      <c r="BA82" s="661">
        <f>IF($G82&lt;0,$G82*INDEX(InputsBG!$1:$1048576,BA$2,MATCH(Substrates!$AY82,InputsBG!$38:$38,0))/$AX82,0)</f>
        <v>0</v>
      </c>
      <c r="BB82" s="661">
        <f>IF($G82&lt;0,$G82*INDEX(InputsBG!$1:$1048576,BB$2,MATCH(Substrates!$AY82,InputsBG!$38:$38,0))/$AX82,0)</f>
        <v>0</v>
      </c>
      <c r="BC82" s="661">
        <f>IF($G82&lt;0,$G82*INDEX(InputsBG!$1:$1048576,BC$2,MATCH(Substrates!$AY82,InputsBG!$38:$38,0))/$AX82,0)</f>
        <v>0</v>
      </c>
      <c r="BD82" s="662">
        <f t="shared" si="47"/>
        <v>0</v>
      </c>
      <c r="BE82" s="645" t="e">
        <f t="shared" si="82"/>
        <v>#DIV/0!</v>
      </c>
      <c r="BF82" s="645" t="e">
        <f t="shared" si="83"/>
        <v>#DIV/0!</v>
      </c>
      <c r="BG82" s="663"/>
      <c r="BH82" s="584"/>
      <c r="BI82" s="584"/>
      <c r="BJ82" s="584"/>
      <c r="BK82" s="584"/>
      <c r="BL82" s="584"/>
      <c r="BM82" s="584"/>
      <c r="BN82" s="584"/>
      <c r="BO82" s="584"/>
      <c r="BP82" s="584"/>
      <c r="BQ82" s="584"/>
      <c r="BR82" s="584"/>
      <c r="BS82" s="584"/>
      <c r="BT82" s="584" t="e">
        <f t="shared" si="48"/>
        <v>#VALUE!</v>
      </c>
      <c r="BU82" s="584"/>
    </row>
    <row r="83" spans="1:73" s="878" customFormat="1">
      <c r="A83" s="933" t="s">
        <v>148</v>
      </c>
      <c r="B83" s="673" t="s">
        <v>148</v>
      </c>
      <c r="C83" s="201" t="s">
        <v>148</v>
      </c>
      <c r="D83" s="625"/>
      <c r="E83" s="819" t="str">
        <f t="shared" si="81"/>
        <v>Vinasse</v>
      </c>
      <c r="F83" s="795">
        <v>0</v>
      </c>
      <c r="G83" s="797">
        <v>0</v>
      </c>
      <c r="H83" s="906">
        <v>0</v>
      </c>
      <c r="I83" s="906">
        <v>0</v>
      </c>
      <c r="K83" s="898"/>
      <c r="L83" s="885">
        <f t="shared" si="91"/>
        <v>0</v>
      </c>
      <c r="M83" s="899">
        <f t="shared" si="92"/>
        <v>0</v>
      </c>
      <c r="N83" s="899"/>
      <c r="O83" s="899"/>
      <c r="P83" s="899"/>
      <c r="Q83" s="899"/>
      <c r="R83" s="897" t="str">
        <f>IF(F83&gt;0,IF(G83/F83/1000&lt;AX83,INDEX(menuesBG!$1:$1048576,Warnung,sprache),""),"")</f>
        <v/>
      </c>
      <c r="S83" s="629">
        <f t="shared" ref="S83:S87" si="93">(T83+U83)/2</f>
        <v>5.5</v>
      </c>
      <c r="T83" s="628">
        <v>3</v>
      </c>
      <c r="U83" s="628">
        <v>8</v>
      </c>
      <c r="V83" s="629">
        <f t="shared" ref="V83:V87" si="94">(W83+X83)/2</f>
        <v>90.5</v>
      </c>
      <c r="W83" s="628">
        <v>83</v>
      </c>
      <c r="X83" s="628">
        <v>98</v>
      </c>
      <c r="Y83" s="656">
        <f t="shared" si="44"/>
        <v>7.95</v>
      </c>
      <c r="Z83" s="628">
        <v>6</v>
      </c>
      <c r="AA83" s="628">
        <v>9.9</v>
      </c>
      <c r="AB83" s="654">
        <v>13</v>
      </c>
      <c r="AC83" s="631">
        <f t="shared" si="38"/>
        <v>5.1675000000000004</v>
      </c>
      <c r="AD83" s="657">
        <v>0.65</v>
      </c>
      <c r="AE83" s="633"/>
      <c r="AF83" s="633"/>
      <c r="AG83" s="629">
        <f t="shared" ref="AG83:AG88" si="95">(AH83+AI83)/2</f>
        <v>500</v>
      </c>
      <c r="AH83" s="658">
        <v>400</v>
      </c>
      <c r="AI83" s="658">
        <v>600</v>
      </c>
      <c r="AJ83" s="627">
        <v>57</v>
      </c>
      <c r="AK83" s="630">
        <f t="shared" si="39"/>
        <v>285</v>
      </c>
      <c r="AL83" s="634">
        <f t="shared" ref="AL83:AL88" si="96">L83*50%*28.62%*12.5%</f>
        <v>0</v>
      </c>
      <c r="AM83" s="659">
        <v>0</v>
      </c>
      <c r="AN83" s="659">
        <v>0</v>
      </c>
      <c r="AO83" s="659">
        <v>0</v>
      </c>
      <c r="AP83" s="638" t="e">
        <f t="shared" si="78"/>
        <v>#N/A</v>
      </c>
      <c r="AQ83" s="639" t="e">
        <f t="shared" si="76"/>
        <v>#N/A</v>
      </c>
      <c r="AR83" s="640" t="e">
        <f t="shared" si="79"/>
        <v>#N/A</v>
      </c>
      <c r="AS83" s="641" t="e">
        <f t="shared" si="77"/>
        <v>#DIV/0!</v>
      </c>
      <c r="AT83" s="642" t="e">
        <f>FaktorenBG!F$43*(1+FaktorenBG!F$56)*IF(Auswahl_Behandlung_fest&lt;5,$F83,0)</f>
        <v>#N/A</v>
      </c>
      <c r="AU83" s="642" t="e">
        <f>FaktorenBG!G$43*(1+FaktorenBG!G$56)*IF(Auswahl_Behandlung_fest&lt;5,$F83,0)</f>
        <v>#N/A</v>
      </c>
      <c r="AV83" s="642" t="e">
        <f>FaktorenBG!H$43*(1+FaktorenBG!H$56)*IF(Auswahl_Behandlung_fest&lt;5,$F83,0)</f>
        <v>#N/A</v>
      </c>
      <c r="AW83" s="643">
        <f t="shared" si="89"/>
        <v>0</v>
      </c>
      <c r="AX83" s="643" t="e">
        <f>INDEX(InputsBG!$1:$1048576,AX$2,MATCH(Substrates!$AY83,InputsBG!$38:$38,0))</f>
        <v>#N/A</v>
      </c>
      <c r="AY83" s="626" t="s">
        <v>753</v>
      </c>
      <c r="AZ83" s="661">
        <f>IF($G83&lt;0,$G83*INDEX(InputsBG!$1:$1048576,AZ$2,MATCH(Substrates!$AY83,InputsBG!$38:$38,0))/$AX83,0)</f>
        <v>0</v>
      </c>
      <c r="BA83" s="661">
        <f>IF($G83&lt;0,$G83*INDEX(InputsBG!$1:$1048576,BA$2,MATCH(Substrates!$AY83,InputsBG!$38:$38,0))/$AX83,0)</f>
        <v>0</v>
      </c>
      <c r="BB83" s="661">
        <f>IF($G83&lt;0,$G83*INDEX(InputsBG!$1:$1048576,BB$2,MATCH(Substrates!$AY83,InputsBG!$38:$38,0))/$AX83,0)</f>
        <v>0</v>
      </c>
      <c r="BC83" s="661">
        <f>IF($G83&lt;0,$G83*INDEX(InputsBG!$1:$1048576,BC$2,MATCH(Substrates!$AY83,InputsBG!$38:$38,0))/$AX83,0)</f>
        <v>0</v>
      </c>
      <c r="BD83" s="662">
        <f t="shared" si="47"/>
        <v>0</v>
      </c>
      <c r="BE83" s="645" t="e">
        <f t="shared" si="82"/>
        <v>#DIV/0!</v>
      </c>
      <c r="BF83" s="645" t="e">
        <f t="shared" si="83"/>
        <v>#DIV/0!</v>
      </c>
      <c r="BG83" s="663"/>
      <c r="BH83" s="584"/>
      <c r="BI83" s="584"/>
      <c r="BJ83" s="584"/>
      <c r="BK83" s="584"/>
      <c r="BL83" s="584"/>
      <c r="BM83" s="584"/>
      <c r="BN83" s="584"/>
      <c r="BO83" s="584"/>
      <c r="BP83" s="584"/>
      <c r="BQ83" s="584"/>
      <c r="BR83" s="584"/>
      <c r="BS83" s="584"/>
      <c r="BT83" s="584" t="str">
        <f t="shared" si="48"/>
        <v>Vinasse, at fermentation plant</v>
      </c>
      <c r="BU83" s="584"/>
    </row>
    <row r="84" spans="1:73" s="878" customFormat="1">
      <c r="A84" s="933" t="s">
        <v>149</v>
      </c>
      <c r="B84" s="673" t="s">
        <v>464</v>
      </c>
      <c r="C84" s="201" t="s">
        <v>1573</v>
      </c>
      <c r="D84" s="625"/>
      <c r="E84" s="819" t="str">
        <f t="shared" si="81"/>
        <v>Wash water from biodiesel production</v>
      </c>
      <c r="F84" s="795">
        <v>0</v>
      </c>
      <c r="G84" s="797">
        <v>0</v>
      </c>
      <c r="H84" s="906">
        <v>0</v>
      </c>
      <c r="I84" s="906">
        <v>0</v>
      </c>
      <c r="K84" s="898"/>
      <c r="L84" s="885">
        <f t="shared" si="91"/>
        <v>0</v>
      </c>
      <c r="M84" s="899">
        <f t="shared" si="92"/>
        <v>0</v>
      </c>
      <c r="N84" s="899"/>
      <c r="O84" s="899"/>
      <c r="P84" s="899"/>
      <c r="Q84" s="899"/>
      <c r="R84" s="897" t="str">
        <f>IF(F84&gt;0,IF(G84/F84/1000&lt;AX84,INDEX(menuesBG!$1:$1048576,Warnung,sprache),""),"")</f>
        <v/>
      </c>
      <c r="S84" s="627">
        <v>3</v>
      </c>
      <c r="T84" s="628"/>
      <c r="U84" s="628"/>
      <c r="V84" s="627">
        <v>91.8</v>
      </c>
      <c r="W84" s="628"/>
      <c r="X84" s="628"/>
      <c r="Y84" s="656">
        <f t="shared" si="44"/>
        <v>2.9930555555555554</v>
      </c>
      <c r="Z84" s="668">
        <f t="shared" ref="Z84:AA89" si="97">Z$138</f>
        <v>2.3277777777777775</v>
      </c>
      <c r="AA84" s="668">
        <f t="shared" si="97"/>
        <v>3.6583333333333337</v>
      </c>
      <c r="AB84" s="654">
        <v>13</v>
      </c>
      <c r="AC84" s="631">
        <f t="shared" si="38"/>
        <v>1.8457175925925919</v>
      </c>
      <c r="AD84" s="666">
        <f t="shared" ref="AD84:AF89" si="98">AD$138</f>
        <v>0.61666666666666647</v>
      </c>
      <c r="AE84" s="667">
        <f t="shared" si="98"/>
        <v>45.65</v>
      </c>
      <c r="AF84" s="667">
        <f t="shared" si="98"/>
        <v>50.55</v>
      </c>
      <c r="AG84" s="629">
        <f t="shared" si="95"/>
        <v>492</v>
      </c>
      <c r="AH84" s="668">
        <f t="shared" ref="AH84:AI89" si="99">AH$138</f>
        <v>376</v>
      </c>
      <c r="AI84" s="668">
        <f t="shared" si="99"/>
        <v>608</v>
      </c>
      <c r="AJ84" s="627">
        <v>57</v>
      </c>
      <c r="AK84" s="630">
        <f t="shared" si="39"/>
        <v>280.44</v>
      </c>
      <c r="AL84" s="634">
        <f t="shared" si="96"/>
        <v>0</v>
      </c>
      <c r="AM84" s="659">
        <v>0</v>
      </c>
      <c r="AN84" s="659">
        <v>0</v>
      </c>
      <c r="AO84" s="659">
        <v>0</v>
      </c>
      <c r="AP84" s="638" t="e">
        <f t="shared" si="78"/>
        <v>#N/A</v>
      </c>
      <c r="AQ84" s="639" t="e">
        <f t="shared" si="76"/>
        <v>#N/A</v>
      </c>
      <c r="AR84" s="640" t="e">
        <f t="shared" si="79"/>
        <v>#N/A</v>
      </c>
      <c r="AS84" s="641" t="e">
        <f t="shared" si="77"/>
        <v>#DIV/0!</v>
      </c>
      <c r="AT84" s="642" t="e">
        <f>FaktorenBG!F$43*(1+FaktorenBG!F$56)*IF(Auswahl_Behandlung_fest&lt;5,$F84,0)</f>
        <v>#N/A</v>
      </c>
      <c r="AU84" s="642" t="e">
        <f>FaktorenBG!G$43*(1+FaktorenBG!G$56)*IF(Auswahl_Behandlung_fest&lt;5,$F84,0)</f>
        <v>#N/A</v>
      </c>
      <c r="AV84" s="642" t="e">
        <f>FaktorenBG!H$43*(1+FaktorenBG!H$56)*IF(Auswahl_Behandlung_fest&lt;5,$F84,0)</f>
        <v>#N/A</v>
      </c>
      <c r="AW84" s="643">
        <f t="shared" si="89"/>
        <v>0</v>
      </c>
      <c r="AX84" s="643" t="e">
        <f>INDEX(InputsBG!$1:$1048576,AX$2,MATCH(Substrates!$AY84,InputsBG!$38:$38,0))</f>
        <v>#N/A</v>
      </c>
      <c r="AY84" s="669" t="s">
        <v>893</v>
      </c>
      <c r="AZ84" s="661">
        <f>IF($G84&lt;0,$G84*INDEX(InputsBG!$1:$1048576,AZ$2,MATCH(Substrates!$AY84,InputsBG!$38:$38,0))/$AX84,0)</f>
        <v>0</v>
      </c>
      <c r="BA84" s="661">
        <f>IF($G84&lt;0,$G84*INDEX(InputsBG!$1:$1048576,BA$2,MATCH(Substrates!$AY84,InputsBG!$38:$38,0))/$AX84,0)</f>
        <v>0</v>
      </c>
      <c r="BB84" s="661">
        <f>IF($G84&lt;0,$G84*INDEX(InputsBG!$1:$1048576,BB$2,MATCH(Substrates!$AY84,InputsBG!$38:$38,0))/$AX84,0)</f>
        <v>0</v>
      </c>
      <c r="BC84" s="661">
        <f>IF($G84&lt;0,$G84*INDEX(InputsBG!$1:$1048576,BC$2,MATCH(Substrates!$AY84,InputsBG!$38:$38,0))/$AX84,0)</f>
        <v>0</v>
      </c>
      <c r="BD84" s="662">
        <f t="shared" si="47"/>
        <v>0</v>
      </c>
      <c r="BE84" s="645" t="e">
        <f t="shared" si="82"/>
        <v>#DIV/0!</v>
      </c>
      <c r="BF84" s="645" t="e">
        <f t="shared" si="83"/>
        <v>#DIV/0!</v>
      </c>
      <c r="BG84" s="663"/>
      <c r="BH84" s="584"/>
      <c r="BI84" s="584"/>
      <c r="BJ84" s="584"/>
      <c r="BK84" s="584"/>
      <c r="BL84" s="584"/>
      <c r="BM84" s="584"/>
      <c r="BN84" s="584"/>
      <c r="BO84" s="584"/>
      <c r="BP84" s="584"/>
      <c r="BQ84" s="584"/>
      <c r="BR84" s="584"/>
      <c r="BS84" s="584"/>
      <c r="BT84" s="584" t="e">
        <f t="shared" si="48"/>
        <v>#VALUE!</v>
      </c>
      <c r="BU84" s="584"/>
    </row>
    <row r="85" spans="1:73" s="878" customFormat="1">
      <c r="A85" s="933" t="s">
        <v>150</v>
      </c>
      <c r="B85" s="673" t="s">
        <v>465</v>
      </c>
      <c r="C85" s="201" t="s">
        <v>1574</v>
      </c>
      <c r="D85" s="625"/>
      <c r="E85" s="819" t="str">
        <f t="shared" si="81"/>
        <v>Aquatic plants, reeds</v>
      </c>
      <c r="F85" s="795">
        <v>0</v>
      </c>
      <c r="G85" s="797">
        <v>0</v>
      </c>
      <c r="H85" s="906">
        <v>0</v>
      </c>
      <c r="I85" s="906">
        <v>0</v>
      </c>
      <c r="K85" s="898"/>
      <c r="L85" s="885">
        <f t="shared" si="91"/>
        <v>0</v>
      </c>
      <c r="M85" s="899">
        <f t="shared" si="92"/>
        <v>0</v>
      </c>
      <c r="N85" s="899"/>
      <c r="O85" s="899"/>
      <c r="P85" s="899"/>
      <c r="Q85" s="899"/>
      <c r="R85" s="897" t="str">
        <f>IF(F85&gt;0,IF(G85/F85/1000&lt;AX85,INDEX(menuesBG!$1:$1048576,Warnung,sprache),""),"")</f>
        <v/>
      </c>
      <c r="S85" s="629">
        <f t="shared" si="93"/>
        <v>30.7</v>
      </c>
      <c r="T85" s="668">
        <f t="shared" ref="T85:U87" si="100">T$138</f>
        <v>30.7</v>
      </c>
      <c r="U85" s="668">
        <f t="shared" si="100"/>
        <v>30.7</v>
      </c>
      <c r="V85" s="629">
        <f t="shared" si="94"/>
        <v>73.900000000000006</v>
      </c>
      <c r="W85" s="668">
        <f t="shared" ref="W85:X89" si="101">W$138</f>
        <v>73.900000000000006</v>
      </c>
      <c r="X85" s="668">
        <f t="shared" si="101"/>
        <v>73.900000000000006</v>
      </c>
      <c r="Y85" s="656">
        <f t="shared" si="44"/>
        <v>2.9930555555555554</v>
      </c>
      <c r="Z85" s="668">
        <f t="shared" si="97"/>
        <v>2.3277777777777775</v>
      </c>
      <c r="AA85" s="668">
        <f t="shared" si="97"/>
        <v>3.6583333333333337</v>
      </c>
      <c r="AB85" s="654">
        <v>13</v>
      </c>
      <c r="AC85" s="631">
        <f t="shared" si="38"/>
        <v>1.8457175925925919</v>
      </c>
      <c r="AD85" s="666">
        <f t="shared" si="98"/>
        <v>0.61666666666666647</v>
      </c>
      <c r="AE85" s="667">
        <f t="shared" si="98"/>
        <v>45.65</v>
      </c>
      <c r="AF85" s="667">
        <f t="shared" si="98"/>
        <v>50.55</v>
      </c>
      <c r="AG85" s="627">
        <v>160</v>
      </c>
      <c r="AH85" s="658"/>
      <c r="AI85" s="658"/>
      <c r="AJ85" s="627">
        <v>60</v>
      </c>
      <c r="AK85" s="630">
        <f t="shared" si="39"/>
        <v>96</v>
      </c>
      <c r="AL85" s="634">
        <f t="shared" si="96"/>
        <v>0</v>
      </c>
      <c r="AM85" s="659">
        <v>0</v>
      </c>
      <c r="AN85" s="659">
        <v>0</v>
      </c>
      <c r="AO85" s="659">
        <v>0</v>
      </c>
      <c r="AP85" s="638" t="e">
        <f t="shared" si="78"/>
        <v>#N/A</v>
      </c>
      <c r="AQ85" s="639" t="e">
        <f t="shared" si="76"/>
        <v>#N/A</v>
      </c>
      <c r="AR85" s="640" t="e">
        <f t="shared" si="79"/>
        <v>#N/A</v>
      </c>
      <c r="AS85" s="641" t="e">
        <f t="shared" si="77"/>
        <v>#DIV/0!</v>
      </c>
      <c r="AT85" s="642" t="e">
        <f>FaktorenBG!F$43*(1+FaktorenBG!F$56)*IF(Auswahl_Behandlung_fest&lt;5,$F85,0)</f>
        <v>#N/A</v>
      </c>
      <c r="AU85" s="642" t="e">
        <f>FaktorenBG!G$43*(1+FaktorenBG!G$56)*IF(Auswahl_Behandlung_fest&lt;5,$F85,0)</f>
        <v>#N/A</v>
      </c>
      <c r="AV85" s="642" t="e">
        <f>FaktorenBG!H$43*(1+FaktorenBG!H$56)*IF(Auswahl_Behandlung_fest&lt;5,$F85,0)</f>
        <v>#N/A</v>
      </c>
      <c r="AW85" s="643">
        <f t="shared" si="89"/>
        <v>0</v>
      </c>
      <c r="AX85" s="643" t="e">
        <f>INDEX(InputsBG!$1:$1048576,AX$2,MATCH(Substrates!$AY85,InputsBG!$38:$38,0))</f>
        <v>#N/A</v>
      </c>
      <c r="AY85" s="669" t="s">
        <v>893</v>
      </c>
      <c r="AZ85" s="661">
        <f>IF($G85&lt;0,$G85*INDEX(InputsBG!$1:$1048576,AZ$2,MATCH(Substrates!$AY85,InputsBG!$38:$38,0))/$AX85,0)</f>
        <v>0</v>
      </c>
      <c r="BA85" s="661">
        <f>IF($G85&lt;0,$G85*INDEX(InputsBG!$1:$1048576,BA$2,MATCH(Substrates!$AY85,InputsBG!$38:$38,0))/$AX85,0)</f>
        <v>0</v>
      </c>
      <c r="BB85" s="661">
        <f>IF($G85&lt;0,$G85*INDEX(InputsBG!$1:$1048576,BB$2,MATCH(Substrates!$AY85,InputsBG!$38:$38,0))/$AX85,0)</f>
        <v>0</v>
      </c>
      <c r="BC85" s="661">
        <f>IF($G85&lt;0,$G85*INDEX(InputsBG!$1:$1048576,BC$2,MATCH(Substrates!$AY85,InputsBG!$38:$38,0))/$AX85,0)</f>
        <v>0</v>
      </c>
      <c r="BD85" s="662">
        <f t="shared" si="47"/>
        <v>0</v>
      </c>
      <c r="BE85" s="645" t="e">
        <f t="shared" si="82"/>
        <v>#DIV/0!</v>
      </c>
      <c r="BF85" s="645" t="e">
        <f t="shared" si="83"/>
        <v>#DIV/0!</v>
      </c>
      <c r="BG85" s="663"/>
      <c r="BH85" s="584"/>
      <c r="BI85" s="584"/>
      <c r="BJ85" s="584"/>
      <c r="BK85" s="584"/>
      <c r="BL85" s="584"/>
      <c r="BM85" s="584"/>
      <c r="BN85" s="584"/>
      <c r="BO85" s="584"/>
      <c r="BP85" s="584"/>
      <c r="BQ85" s="584"/>
      <c r="BR85" s="584"/>
      <c r="BS85" s="584"/>
      <c r="BT85" s="584" t="e">
        <f t="shared" si="48"/>
        <v>#VALUE!</v>
      </c>
      <c r="BU85" s="584"/>
    </row>
    <row r="86" spans="1:73" s="878" customFormat="1">
      <c r="A86" s="933" t="s">
        <v>162</v>
      </c>
      <c r="B86" s="673" t="s">
        <v>466</v>
      </c>
      <c r="C86" s="201" t="s">
        <v>1575</v>
      </c>
      <c r="D86" s="625"/>
      <c r="E86" s="819" t="str">
        <f t="shared" si="81"/>
        <v>Wine lees, bustards, sludge from wine making</v>
      </c>
      <c r="F86" s="795">
        <v>0</v>
      </c>
      <c r="G86" s="797">
        <v>0</v>
      </c>
      <c r="H86" s="906">
        <v>0</v>
      </c>
      <c r="I86" s="906">
        <v>0</v>
      </c>
      <c r="K86" s="898"/>
      <c r="L86" s="885">
        <f t="shared" si="91"/>
        <v>0</v>
      </c>
      <c r="M86" s="899">
        <f t="shared" si="92"/>
        <v>0</v>
      </c>
      <c r="N86" s="899"/>
      <c r="O86" s="899"/>
      <c r="P86" s="899"/>
      <c r="Q86" s="899"/>
      <c r="R86" s="897" t="str">
        <f>IF(F86&gt;0,IF(G86/F86/1000&lt;AX86,INDEX(menuesBG!$1:$1048576,Warnung,sprache),""),"")</f>
        <v/>
      </c>
      <c r="S86" s="629">
        <f t="shared" si="93"/>
        <v>30.7</v>
      </c>
      <c r="T86" s="668">
        <f t="shared" si="100"/>
        <v>30.7</v>
      </c>
      <c r="U86" s="668">
        <f t="shared" si="100"/>
        <v>30.7</v>
      </c>
      <c r="V86" s="629">
        <f t="shared" si="94"/>
        <v>73.900000000000006</v>
      </c>
      <c r="W86" s="668">
        <f t="shared" si="101"/>
        <v>73.900000000000006</v>
      </c>
      <c r="X86" s="668">
        <f t="shared" si="101"/>
        <v>73.900000000000006</v>
      </c>
      <c r="Y86" s="656">
        <f t="shared" si="44"/>
        <v>2.9930555555555554</v>
      </c>
      <c r="Z86" s="668">
        <f t="shared" si="97"/>
        <v>2.3277777777777775</v>
      </c>
      <c r="AA86" s="668">
        <f t="shared" si="97"/>
        <v>3.6583333333333337</v>
      </c>
      <c r="AB86" s="654">
        <v>13</v>
      </c>
      <c r="AC86" s="631">
        <f t="shared" si="38"/>
        <v>1.8457175925925919</v>
      </c>
      <c r="AD86" s="666">
        <f t="shared" si="98"/>
        <v>0.61666666666666647</v>
      </c>
      <c r="AE86" s="667">
        <f t="shared" si="98"/>
        <v>45.65</v>
      </c>
      <c r="AF86" s="667">
        <f t="shared" si="98"/>
        <v>50.55</v>
      </c>
      <c r="AG86" s="629">
        <f t="shared" si="95"/>
        <v>492</v>
      </c>
      <c r="AH86" s="668">
        <f t="shared" si="99"/>
        <v>376</v>
      </c>
      <c r="AI86" s="668">
        <f t="shared" si="99"/>
        <v>608</v>
      </c>
      <c r="AJ86" s="627">
        <v>57</v>
      </c>
      <c r="AK86" s="630">
        <f t="shared" si="39"/>
        <v>280.44</v>
      </c>
      <c r="AL86" s="634">
        <f t="shared" si="96"/>
        <v>0</v>
      </c>
      <c r="AM86" s="659">
        <v>0</v>
      </c>
      <c r="AN86" s="659">
        <v>0</v>
      </c>
      <c r="AO86" s="659">
        <v>0</v>
      </c>
      <c r="AP86" s="638" t="e">
        <f t="shared" si="78"/>
        <v>#N/A</v>
      </c>
      <c r="AQ86" s="639" t="e">
        <f t="shared" si="76"/>
        <v>#N/A</v>
      </c>
      <c r="AR86" s="640" t="e">
        <f t="shared" si="79"/>
        <v>#N/A</v>
      </c>
      <c r="AS86" s="641" t="e">
        <f t="shared" si="77"/>
        <v>#DIV/0!</v>
      </c>
      <c r="AT86" s="642" t="e">
        <f>FaktorenBG!F$43*(1+FaktorenBG!F$56)*IF(Auswahl_Behandlung_fest&lt;5,$F86,0)</f>
        <v>#N/A</v>
      </c>
      <c r="AU86" s="642" t="e">
        <f>FaktorenBG!G$43*(1+FaktorenBG!G$56)*IF(Auswahl_Behandlung_fest&lt;5,$F86,0)</f>
        <v>#N/A</v>
      </c>
      <c r="AV86" s="642" t="e">
        <f>FaktorenBG!H$43*(1+FaktorenBG!H$56)*IF(Auswahl_Behandlung_fest&lt;5,$F86,0)</f>
        <v>#N/A</v>
      </c>
      <c r="AW86" s="643">
        <f t="shared" si="89"/>
        <v>0</v>
      </c>
      <c r="AX86" s="643" t="e">
        <f>INDEX(InputsBG!$1:$1048576,AX$2,MATCH(Substrates!$AY86,InputsBG!$38:$38,0))</f>
        <v>#N/A</v>
      </c>
      <c r="AY86" s="669" t="s">
        <v>893</v>
      </c>
      <c r="AZ86" s="661">
        <f>IF($G86&lt;0,$G86*INDEX(InputsBG!$1:$1048576,AZ$2,MATCH(Substrates!$AY86,InputsBG!$38:$38,0))/$AX86,0)</f>
        <v>0</v>
      </c>
      <c r="BA86" s="661">
        <f>IF($G86&lt;0,$G86*INDEX(InputsBG!$1:$1048576,BA$2,MATCH(Substrates!$AY86,InputsBG!$38:$38,0))/$AX86,0)</f>
        <v>0</v>
      </c>
      <c r="BB86" s="661">
        <f>IF($G86&lt;0,$G86*INDEX(InputsBG!$1:$1048576,BB$2,MATCH(Substrates!$AY86,InputsBG!$38:$38,0))/$AX86,0)</f>
        <v>0</v>
      </c>
      <c r="BC86" s="661">
        <f>IF($G86&lt;0,$G86*INDEX(InputsBG!$1:$1048576,BC$2,MATCH(Substrates!$AY86,InputsBG!$38:$38,0))/$AX86,0)</f>
        <v>0</v>
      </c>
      <c r="BD86" s="662">
        <f t="shared" si="47"/>
        <v>0</v>
      </c>
      <c r="BE86" s="645" t="e">
        <f t="shared" si="82"/>
        <v>#DIV/0!</v>
      </c>
      <c r="BF86" s="645" t="e">
        <f t="shared" si="83"/>
        <v>#DIV/0!</v>
      </c>
      <c r="BG86" s="663"/>
      <c r="BH86" s="584"/>
      <c r="BI86" s="584"/>
      <c r="BJ86" s="584"/>
      <c r="BK86" s="584"/>
      <c r="BL86" s="584"/>
      <c r="BM86" s="584"/>
      <c r="BN86" s="584"/>
      <c r="BO86" s="584"/>
      <c r="BP86" s="584"/>
      <c r="BQ86" s="584"/>
      <c r="BR86" s="584"/>
      <c r="BS86" s="584"/>
      <c r="BT86" s="584" t="e">
        <f t="shared" si="48"/>
        <v>#VALUE!</v>
      </c>
      <c r="BU86" s="584"/>
    </row>
    <row r="87" spans="1:73" s="878" customFormat="1">
      <c r="A87" s="933" t="s">
        <v>156</v>
      </c>
      <c r="B87" s="673" t="s">
        <v>504</v>
      </c>
      <c r="C87" s="201" t="s">
        <v>1576</v>
      </c>
      <c r="D87" s="625"/>
      <c r="E87" s="819" t="str">
        <f t="shared" si="81"/>
        <v>Wool residues, dust (untreated)</v>
      </c>
      <c r="F87" s="795">
        <v>0</v>
      </c>
      <c r="G87" s="797">
        <v>0</v>
      </c>
      <c r="H87" s="906">
        <v>0</v>
      </c>
      <c r="I87" s="906">
        <v>0</v>
      </c>
      <c r="K87" s="898"/>
      <c r="L87" s="885">
        <f t="shared" si="91"/>
        <v>0</v>
      </c>
      <c r="M87" s="899">
        <f t="shared" si="92"/>
        <v>0</v>
      </c>
      <c r="N87" s="899"/>
      <c r="O87" s="899"/>
      <c r="P87" s="899"/>
      <c r="Q87" s="899"/>
      <c r="R87" s="897" t="str">
        <f>IF(F87&gt;0,IF(G87/F87/1000&lt;AX87,INDEX(menuesBG!$1:$1048576,Warnung,sprache),""),"")</f>
        <v/>
      </c>
      <c r="S87" s="629">
        <f t="shared" si="93"/>
        <v>30.7</v>
      </c>
      <c r="T87" s="668">
        <f t="shared" si="100"/>
        <v>30.7</v>
      </c>
      <c r="U87" s="668">
        <f t="shared" si="100"/>
        <v>30.7</v>
      </c>
      <c r="V87" s="629">
        <f t="shared" si="94"/>
        <v>73.900000000000006</v>
      </c>
      <c r="W87" s="668">
        <f t="shared" si="101"/>
        <v>73.900000000000006</v>
      </c>
      <c r="X87" s="668">
        <f t="shared" si="101"/>
        <v>73.900000000000006</v>
      </c>
      <c r="Y87" s="656">
        <f t="shared" si="44"/>
        <v>2.9930555555555554</v>
      </c>
      <c r="Z87" s="668">
        <f t="shared" si="97"/>
        <v>2.3277777777777775</v>
      </c>
      <c r="AA87" s="668">
        <f t="shared" si="97"/>
        <v>3.6583333333333337</v>
      </c>
      <c r="AB87" s="654">
        <v>13</v>
      </c>
      <c r="AC87" s="631">
        <f t="shared" si="38"/>
        <v>1.8457175925925919</v>
      </c>
      <c r="AD87" s="666">
        <f t="shared" si="98"/>
        <v>0.61666666666666647</v>
      </c>
      <c r="AE87" s="667">
        <f t="shared" si="98"/>
        <v>45.65</v>
      </c>
      <c r="AF87" s="667">
        <f t="shared" si="98"/>
        <v>50.55</v>
      </c>
      <c r="AG87" s="629">
        <f t="shared" si="95"/>
        <v>492</v>
      </c>
      <c r="AH87" s="668">
        <f t="shared" si="99"/>
        <v>376</v>
      </c>
      <c r="AI87" s="668">
        <f t="shared" si="99"/>
        <v>608</v>
      </c>
      <c r="AJ87" s="627">
        <v>57</v>
      </c>
      <c r="AK87" s="630">
        <f t="shared" si="39"/>
        <v>280.44</v>
      </c>
      <c r="AL87" s="634">
        <f t="shared" si="96"/>
        <v>0</v>
      </c>
      <c r="AM87" s="659">
        <v>0</v>
      </c>
      <c r="AN87" s="659">
        <v>0</v>
      </c>
      <c r="AO87" s="659">
        <v>0</v>
      </c>
      <c r="AP87" s="638" t="e">
        <f t="shared" si="78"/>
        <v>#N/A</v>
      </c>
      <c r="AQ87" s="639" t="e">
        <f t="shared" si="76"/>
        <v>#N/A</v>
      </c>
      <c r="AR87" s="640" t="e">
        <f t="shared" si="79"/>
        <v>#N/A</v>
      </c>
      <c r="AS87" s="641" t="e">
        <f t="shared" si="77"/>
        <v>#DIV/0!</v>
      </c>
      <c r="AT87" s="642" t="e">
        <f>FaktorenBG!F$43*(1+FaktorenBG!F$56)*IF(Auswahl_Behandlung_fest&lt;5,$F87,0)</f>
        <v>#N/A</v>
      </c>
      <c r="AU87" s="642" t="e">
        <f>FaktorenBG!G$43*(1+FaktorenBG!G$56)*IF(Auswahl_Behandlung_fest&lt;5,$F87,0)</f>
        <v>#N/A</v>
      </c>
      <c r="AV87" s="642" t="e">
        <f>FaktorenBG!H$43*(1+FaktorenBG!H$56)*IF(Auswahl_Behandlung_fest&lt;5,$F87,0)</f>
        <v>#N/A</v>
      </c>
      <c r="AW87" s="643">
        <f t="shared" si="89"/>
        <v>0</v>
      </c>
      <c r="AX87" s="643" t="e">
        <f>INDEX(InputsBG!$1:$1048576,AX$2,MATCH(Substrates!$AY87,InputsBG!$38:$38,0))</f>
        <v>#N/A</v>
      </c>
      <c r="AY87" s="669" t="s">
        <v>893</v>
      </c>
      <c r="AZ87" s="661">
        <f>IF($G87&lt;0,$G87*INDEX(InputsBG!$1:$1048576,AZ$2,MATCH(Substrates!$AY87,InputsBG!$38:$38,0))/$AX87,0)</f>
        <v>0</v>
      </c>
      <c r="BA87" s="661">
        <f>IF($G87&lt;0,$G87*INDEX(InputsBG!$1:$1048576,BA$2,MATCH(Substrates!$AY87,InputsBG!$38:$38,0))/$AX87,0)</f>
        <v>0</v>
      </c>
      <c r="BB87" s="661">
        <f>IF($G87&lt;0,$G87*INDEX(InputsBG!$1:$1048576,BB$2,MATCH(Substrates!$AY87,InputsBG!$38:$38,0))/$AX87,0)</f>
        <v>0</v>
      </c>
      <c r="BC87" s="661">
        <f>IF($G87&lt;0,$G87*INDEX(InputsBG!$1:$1048576,BC$2,MATCH(Substrates!$AY87,InputsBG!$38:$38,0))/$AX87,0)</f>
        <v>0</v>
      </c>
      <c r="BD87" s="662">
        <f t="shared" si="47"/>
        <v>0</v>
      </c>
      <c r="BE87" s="645" t="e">
        <f t="shared" si="82"/>
        <v>#DIV/0!</v>
      </c>
      <c r="BF87" s="645" t="e">
        <f t="shared" si="83"/>
        <v>#DIV/0!</v>
      </c>
      <c r="BG87" s="663"/>
      <c r="BH87" s="584"/>
      <c r="BI87" s="584"/>
      <c r="BJ87" s="584"/>
      <c r="BK87" s="584"/>
      <c r="BL87" s="584"/>
      <c r="BM87" s="584"/>
      <c r="BN87" s="584"/>
      <c r="BO87" s="584"/>
      <c r="BP87" s="584"/>
      <c r="BQ87" s="584"/>
      <c r="BR87" s="584"/>
      <c r="BS87" s="584"/>
      <c r="BT87" s="584" t="e">
        <f t="shared" si="48"/>
        <v>#VALUE!</v>
      </c>
      <c r="BU87" s="584"/>
    </row>
    <row r="88" spans="1:73" s="878" customFormat="1">
      <c r="A88" s="933" t="s">
        <v>151</v>
      </c>
      <c r="B88" s="673" t="s">
        <v>467</v>
      </c>
      <c r="C88" s="201" t="s">
        <v>1577</v>
      </c>
      <c r="D88" s="625"/>
      <c r="E88" s="819" t="str">
        <f t="shared" si="81"/>
        <v>Wort residues, wort spent grains</v>
      </c>
      <c r="F88" s="795">
        <v>0</v>
      </c>
      <c r="G88" s="797">
        <v>0</v>
      </c>
      <c r="H88" s="906">
        <v>0</v>
      </c>
      <c r="I88" s="906">
        <v>0</v>
      </c>
      <c r="K88" s="898"/>
      <c r="L88" s="885">
        <f t="shared" si="91"/>
        <v>0</v>
      </c>
      <c r="M88" s="899">
        <f t="shared" si="92"/>
        <v>0</v>
      </c>
      <c r="N88" s="899"/>
      <c r="O88" s="899"/>
      <c r="P88" s="899"/>
      <c r="Q88" s="899"/>
      <c r="R88" s="897" t="str">
        <f>IF(F88&gt;0,IF(G88/F88/1000&lt;AX88,INDEX(menuesBG!$1:$1048576,Warnung,sprache),""),"")</f>
        <v/>
      </c>
      <c r="S88" s="627">
        <v>57.5</v>
      </c>
      <c r="T88" s="628"/>
      <c r="U88" s="628"/>
      <c r="V88" s="627">
        <v>22.5</v>
      </c>
      <c r="W88" s="628"/>
      <c r="X88" s="628"/>
      <c r="Y88" s="656">
        <f t="shared" si="44"/>
        <v>2.9930555555555554</v>
      </c>
      <c r="Z88" s="668">
        <f t="shared" si="97"/>
        <v>2.3277777777777775</v>
      </c>
      <c r="AA88" s="668">
        <f t="shared" si="97"/>
        <v>3.6583333333333337</v>
      </c>
      <c r="AB88" s="654">
        <v>13</v>
      </c>
      <c r="AC88" s="631">
        <f t="shared" si="38"/>
        <v>1.8457175925925919</v>
      </c>
      <c r="AD88" s="666">
        <f t="shared" si="98"/>
        <v>0.61666666666666647</v>
      </c>
      <c r="AE88" s="667">
        <f t="shared" si="98"/>
        <v>45.65</v>
      </c>
      <c r="AF88" s="667">
        <f t="shared" si="98"/>
        <v>50.55</v>
      </c>
      <c r="AG88" s="629">
        <f t="shared" si="95"/>
        <v>492</v>
      </c>
      <c r="AH88" s="668">
        <f t="shared" si="99"/>
        <v>376</v>
      </c>
      <c r="AI88" s="668">
        <f t="shared" si="99"/>
        <v>608</v>
      </c>
      <c r="AJ88" s="627">
        <v>57</v>
      </c>
      <c r="AK88" s="630">
        <f t="shared" ref="AK88:AK90" si="102">AJ88*$AG88/100</f>
        <v>280.44</v>
      </c>
      <c r="AL88" s="634">
        <f t="shared" si="96"/>
        <v>0</v>
      </c>
      <c r="AM88" s="659">
        <v>0</v>
      </c>
      <c r="AN88" s="659">
        <v>0</v>
      </c>
      <c r="AO88" s="659">
        <v>0</v>
      </c>
      <c r="AP88" s="638" t="e">
        <f t="shared" si="78"/>
        <v>#N/A</v>
      </c>
      <c r="AQ88" s="639" t="e">
        <f t="shared" si="76"/>
        <v>#N/A</v>
      </c>
      <c r="AR88" s="640" t="e">
        <f t="shared" si="79"/>
        <v>#N/A</v>
      </c>
      <c r="AS88" s="641" t="e">
        <f t="shared" si="77"/>
        <v>#DIV/0!</v>
      </c>
      <c r="AT88" s="642" t="e">
        <f>FaktorenBG!F$43*(1+FaktorenBG!F$56)*IF(Auswahl_Behandlung_fest&lt;5,$F88,0)</f>
        <v>#N/A</v>
      </c>
      <c r="AU88" s="642" t="e">
        <f>FaktorenBG!G$43*(1+FaktorenBG!G$56)*IF(Auswahl_Behandlung_fest&lt;5,$F88,0)</f>
        <v>#N/A</v>
      </c>
      <c r="AV88" s="642" t="e">
        <f>FaktorenBG!H$43*(1+FaktorenBG!H$56)*IF(Auswahl_Behandlung_fest&lt;5,$F88,0)</f>
        <v>#N/A</v>
      </c>
      <c r="AW88" s="643">
        <f t="shared" si="89"/>
        <v>0</v>
      </c>
      <c r="AX88" s="643" t="e">
        <f>INDEX(InputsBG!$1:$1048576,AX$2,MATCH(Substrates!$AY88,InputsBG!$38:$38,0))</f>
        <v>#N/A</v>
      </c>
      <c r="AY88" s="660" t="s">
        <v>1048</v>
      </c>
      <c r="AZ88" s="661">
        <f>IF($G88&lt;0,$G88*INDEX(InputsBG!$1:$1048576,AZ$2,MATCH(Substrates!$AY88,InputsBG!$38:$38,0))/$AX88,0)</f>
        <v>0</v>
      </c>
      <c r="BA88" s="661">
        <f>IF($G88&lt;0,$G88*INDEX(InputsBG!$1:$1048576,BA$2,MATCH(Substrates!$AY88,InputsBG!$38:$38,0))/$AX88,0)</f>
        <v>0</v>
      </c>
      <c r="BB88" s="661">
        <f>IF($G88&lt;0,$G88*INDEX(InputsBG!$1:$1048576,BB$2,MATCH(Substrates!$AY88,InputsBG!$38:$38,0))/$AX88,0)</f>
        <v>0</v>
      </c>
      <c r="BC88" s="661">
        <f>IF($G88&lt;0,$G88*INDEX(InputsBG!$1:$1048576,BC$2,MATCH(Substrates!$AY88,InputsBG!$38:$38,0))/$AX88,0)</f>
        <v>0</v>
      </c>
      <c r="BD88" s="662">
        <f t="shared" si="47"/>
        <v>0</v>
      </c>
      <c r="BE88" s="645" t="e">
        <f t="shared" si="82"/>
        <v>#DIV/0!</v>
      </c>
      <c r="BF88" s="645" t="e">
        <f t="shared" si="83"/>
        <v>#DIV/0!</v>
      </c>
      <c r="BG88" s="663"/>
      <c r="BH88" s="584"/>
      <c r="BI88" s="584"/>
      <c r="BJ88" s="584"/>
      <c r="BK88" s="584"/>
      <c r="BL88" s="584"/>
      <c r="BM88" s="584"/>
      <c r="BN88" s="584"/>
      <c r="BO88" s="584"/>
      <c r="BP88" s="584"/>
      <c r="BQ88" s="584"/>
      <c r="BR88" s="584"/>
      <c r="BS88" s="584"/>
      <c r="BT88" s="584" t="str">
        <f t="shared" si="48"/>
        <v>Rye grains IP, at farm</v>
      </c>
      <c r="BU88" s="584"/>
    </row>
    <row r="89" spans="1:73" s="878" customFormat="1">
      <c r="A89" s="933" t="s">
        <v>163</v>
      </c>
      <c r="B89" s="673" t="s">
        <v>468</v>
      </c>
      <c r="C89" s="201" t="s">
        <v>1578</v>
      </c>
      <c r="D89" s="625"/>
      <c r="E89" s="819" t="str">
        <f t="shared" si="81"/>
        <v>Chicory grains, cereal grains</v>
      </c>
      <c r="F89" s="795">
        <v>0</v>
      </c>
      <c r="G89" s="797">
        <v>0</v>
      </c>
      <c r="H89" s="906">
        <v>0</v>
      </c>
      <c r="I89" s="906">
        <v>0</v>
      </c>
      <c r="K89" s="898"/>
      <c r="L89" s="885">
        <f t="shared" ref="L89:L90" si="103">F89*S89*V89/10</f>
        <v>0</v>
      </c>
      <c r="M89" s="899">
        <f t="shared" ref="M89:M90" si="104">F89*S89*V89/10000*AG89</f>
        <v>0</v>
      </c>
      <c r="N89" s="899"/>
      <c r="O89" s="899"/>
      <c r="P89" s="899"/>
      <c r="Q89" s="899"/>
      <c r="R89" s="897" t="str">
        <f>IF(F89&gt;0,IF(G89/F89/1000&lt;AX89,INDEX(menuesBG!$1:$1048576,Warnung,sprache),""),"")</f>
        <v/>
      </c>
      <c r="S89" s="627">
        <v>10</v>
      </c>
      <c r="T89" s="628"/>
      <c r="U89" s="628"/>
      <c r="V89" s="629">
        <f t="shared" ref="V89:V90" si="105">(W89+X89)/2</f>
        <v>73.900000000000006</v>
      </c>
      <c r="W89" s="668">
        <f t="shared" si="101"/>
        <v>73.900000000000006</v>
      </c>
      <c r="X89" s="668">
        <f t="shared" si="101"/>
        <v>73.900000000000006</v>
      </c>
      <c r="Y89" s="656">
        <f t="shared" ref="Y89:Y90" si="106">(Z89+AA89)/2</f>
        <v>2.9930555555555554</v>
      </c>
      <c r="Z89" s="668">
        <f t="shared" si="97"/>
        <v>2.3277777777777775</v>
      </c>
      <c r="AA89" s="668">
        <f t="shared" si="97"/>
        <v>3.6583333333333337</v>
      </c>
      <c r="AB89" s="654">
        <v>13</v>
      </c>
      <c r="AC89" s="631">
        <f t="shared" ref="AC89:AC90" si="107">AD89*Y89</f>
        <v>1.8457175925925919</v>
      </c>
      <c r="AD89" s="666">
        <f t="shared" si="98"/>
        <v>0.61666666666666647</v>
      </c>
      <c r="AE89" s="667">
        <f t="shared" si="98"/>
        <v>45.65</v>
      </c>
      <c r="AF89" s="667">
        <f t="shared" si="98"/>
        <v>50.55</v>
      </c>
      <c r="AG89" s="629">
        <f t="shared" ref="AG89:AG90" si="108">(AH89+AI89)/2</f>
        <v>492</v>
      </c>
      <c r="AH89" s="668">
        <f t="shared" si="99"/>
        <v>376</v>
      </c>
      <c r="AI89" s="668">
        <f t="shared" si="99"/>
        <v>608</v>
      </c>
      <c r="AJ89" s="627">
        <v>57</v>
      </c>
      <c r="AK89" s="630">
        <f t="shared" si="102"/>
        <v>280.44</v>
      </c>
      <c r="AL89" s="634">
        <f t="shared" ref="AL89:AL90" si="109">L89*50%*28.62%*12.5%</f>
        <v>0</v>
      </c>
      <c r="AM89" s="659">
        <v>0</v>
      </c>
      <c r="AN89" s="659">
        <v>0</v>
      </c>
      <c r="AO89" s="659">
        <v>0</v>
      </c>
      <c r="AP89" s="638" t="e">
        <f t="shared" si="78"/>
        <v>#N/A</v>
      </c>
      <c r="AQ89" s="639" t="e">
        <f t="shared" ref="AQ89:AQ90" si="110">F89*1000*S89/100*Y89/100*AB89/100*NH3emittiert*AnteilNH3Lagerung*(1+NH3plus)*((1+Faktor_NH3_Behandlung)*Anteil_V_fest+(1+FaktorNH3GülleBehandlung)*Anteil_V_flüssig)</f>
        <v>#N/A</v>
      </c>
      <c r="AR89" s="640" t="e">
        <f t="shared" si="79"/>
        <v>#N/A</v>
      </c>
      <c r="AS89" s="641" t="e">
        <f t="shared" ref="AS89:AS90" si="111">F89*(N2O_Gülle*Anteil_V_flüssig*(1+Faktor_N2O_GülleBehandlung)+N2O_Kompost*Anteil_V_fest*(1+Faktor_N2O_Behandlung))</f>
        <v>#DIV/0!</v>
      </c>
      <c r="AT89" s="642" t="e">
        <f>FaktorenBG!F$43*(1+FaktorenBG!F$56)*IF(Auswahl_Behandlung_fest&lt;5,$F89,0)</f>
        <v>#N/A</v>
      </c>
      <c r="AU89" s="642" t="e">
        <f>FaktorenBG!G$43*(1+FaktorenBG!G$56)*IF(Auswahl_Behandlung_fest&lt;5,$F89,0)</f>
        <v>#N/A</v>
      </c>
      <c r="AV89" s="642" t="e">
        <f>FaktorenBG!H$43*(1+FaktorenBG!H$56)*IF(Auswahl_Behandlung_fest&lt;5,$F89,0)</f>
        <v>#N/A</v>
      </c>
      <c r="AW89" s="643">
        <f t="shared" ref="AW89:AW90" si="112">IF(F89&gt;0,G89/F89/1000,0)</f>
        <v>0</v>
      </c>
      <c r="AX89" s="643" t="e">
        <f>INDEX(InputsBG!$1:$1048576,AX$2,MATCH(Substrates!$AY89,InputsBG!$38:$38,0))</f>
        <v>#N/A</v>
      </c>
      <c r="AY89" s="660" t="s">
        <v>1048</v>
      </c>
      <c r="AZ89" s="661">
        <f>IF($G89&lt;0,$G89*INDEX(InputsBG!$1:$1048576,AZ$2,MATCH(Substrates!$AY89,InputsBG!$38:$38,0))/$AX89,0)</f>
        <v>0</v>
      </c>
      <c r="BA89" s="661">
        <f>IF($G89&lt;0,$G89*INDEX(InputsBG!$1:$1048576,BA$2,MATCH(Substrates!$AY89,InputsBG!$38:$38,0))/$AX89,0)</f>
        <v>0</v>
      </c>
      <c r="BB89" s="661">
        <f>IF($G89&lt;0,$G89*INDEX(InputsBG!$1:$1048576,BB$2,MATCH(Substrates!$AY89,InputsBG!$38:$38,0))/$AX89,0)</f>
        <v>0</v>
      </c>
      <c r="BC89" s="661">
        <f>IF($G89&lt;0,$G89*INDEX(InputsBG!$1:$1048576,BC$2,MATCH(Substrates!$AY89,InputsBG!$38:$38,0))/$AX89,0)</f>
        <v>0</v>
      </c>
      <c r="BD89" s="662">
        <f t="shared" si="47"/>
        <v>0</v>
      </c>
      <c r="BE89" s="645" t="e">
        <f t="shared" si="82"/>
        <v>#DIV/0!</v>
      </c>
      <c r="BF89" s="645" t="e">
        <f t="shared" si="83"/>
        <v>#DIV/0!</v>
      </c>
      <c r="BG89" s="663"/>
      <c r="BH89" s="584"/>
      <c r="BI89" s="584"/>
      <c r="BJ89" s="584"/>
      <c r="BK89" s="584"/>
      <c r="BL89" s="584"/>
      <c r="BM89" s="584"/>
      <c r="BN89" s="584"/>
      <c r="BO89" s="584"/>
      <c r="BP89" s="584"/>
      <c r="BQ89" s="584"/>
      <c r="BR89" s="584"/>
      <c r="BS89" s="584"/>
      <c r="BT89" s="584" t="str">
        <f t="shared" si="48"/>
        <v>Rye grains IP, at farm</v>
      </c>
      <c r="BU89" s="584"/>
    </row>
    <row r="90" spans="1:73" s="878" customFormat="1">
      <c r="A90" s="673" t="s">
        <v>96</v>
      </c>
      <c r="B90" s="673" t="s">
        <v>97</v>
      </c>
      <c r="C90" s="201" t="s">
        <v>1579</v>
      </c>
      <c r="D90" s="625"/>
      <c r="E90" s="819" t="str">
        <f t="shared" si="81"/>
        <v>Sugar beet</v>
      </c>
      <c r="F90" s="795">
        <v>0</v>
      </c>
      <c r="G90" s="797">
        <v>0</v>
      </c>
      <c r="H90" s="906">
        <v>0</v>
      </c>
      <c r="I90" s="906">
        <v>0</v>
      </c>
      <c r="K90" s="898"/>
      <c r="L90" s="885">
        <f t="shared" si="103"/>
        <v>0</v>
      </c>
      <c r="M90" s="899">
        <f t="shared" si="104"/>
        <v>0</v>
      </c>
      <c r="N90" s="899"/>
      <c r="O90" s="899"/>
      <c r="P90" s="899"/>
      <c r="Q90" s="899"/>
      <c r="R90" s="897" t="str">
        <f>IF(F90&gt;0,IF(G90/F90/1000&lt;AX90,INDEX(menuesBG!$1:$1048576,Warnung,sprache),""),"")</f>
        <v/>
      </c>
      <c r="S90" s="629">
        <f t="shared" ref="S90" si="113">(T90+U90)/2</f>
        <v>23</v>
      </c>
      <c r="T90" s="628">
        <v>23</v>
      </c>
      <c r="U90" s="628">
        <v>23</v>
      </c>
      <c r="V90" s="629">
        <f t="shared" si="105"/>
        <v>95</v>
      </c>
      <c r="W90" s="628">
        <v>95</v>
      </c>
      <c r="X90" s="628">
        <v>95</v>
      </c>
      <c r="Y90" s="656">
        <f t="shared" si="106"/>
        <v>2.6</v>
      </c>
      <c r="Z90" s="671">
        <v>2.6</v>
      </c>
      <c r="AA90" s="671">
        <v>2.6</v>
      </c>
      <c r="AB90" s="665">
        <f>AVERAGE(0.2)/AVERAGE(2.6)*100</f>
        <v>7.6923076923076925</v>
      </c>
      <c r="AC90" s="631">
        <f t="shared" si="107"/>
        <v>1.6900000000000002</v>
      </c>
      <c r="AD90" s="657">
        <v>0.65</v>
      </c>
      <c r="AE90" s="633"/>
      <c r="AF90" s="633"/>
      <c r="AG90" s="629">
        <f t="shared" si="108"/>
        <v>630</v>
      </c>
      <c r="AH90" s="658">
        <v>400</v>
      </c>
      <c r="AI90" s="658">
        <v>860</v>
      </c>
      <c r="AJ90" s="627">
        <v>57</v>
      </c>
      <c r="AK90" s="630">
        <f t="shared" si="102"/>
        <v>359.1</v>
      </c>
      <c r="AL90" s="634">
        <f t="shared" si="109"/>
        <v>0</v>
      </c>
      <c r="AM90" s="659">
        <v>0</v>
      </c>
      <c r="AN90" s="659">
        <v>0</v>
      </c>
      <c r="AO90" s="659">
        <v>0</v>
      </c>
      <c r="AP90" s="638" t="e">
        <f t="shared" si="78"/>
        <v>#N/A</v>
      </c>
      <c r="AQ90" s="639" t="e">
        <f t="shared" si="110"/>
        <v>#N/A</v>
      </c>
      <c r="AR90" s="640" t="e">
        <f t="shared" si="79"/>
        <v>#N/A</v>
      </c>
      <c r="AS90" s="641" t="e">
        <f t="shared" si="111"/>
        <v>#DIV/0!</v>
      </c>
      <c r="AT90" s="642" t="e">
        <f>FaktorenBG!F$43*(1+FaktorenBG!F$56)*IF(Auswahl_Behandlung_fest&lt;5,$F90,0)</f>
        <v>#N/A</v>
      </c>
      <c r="AU90" s="642" t="e">
        <f>FaktorenBG!G$43*(1+FaktorenBG!G$56)*IF(Auswahl_Behandlung_fest&lt;5,$F90,0)</f>
        <v>#N/A</v>
      </c>
      <c r="AV90" s="642" t="e">
        <f>FaktorenBG!H$43*(1+FaktorenBG!H$56)*IF(Auswahl_Behandlung_fest&lt;5,$F90,0)</f>
        <v>#N/A</v>
      </c>
      <c r="AW90" s="643">
        <f t="shared" si="112"/>
        <v>0</v>
      </c>
      <c r="AX90" s="643" t="e">
        <f>INDEX(InputsBG!$1:$1048576,AX$2,MATCH(Substrates!$AY90,InputsBG!$38:$38,0))</f>
        <v>#N/A</v>
      </c>
      <c r="AY90" s="672" t="s">
        <v>1042</v>
      </c>
      <c r="AZ90" s="661">
        <f>IF($G90&lt;0,$G90*INDEX(InputsBG!$1:$1048576,AZ$2,MATCH(Substrates!$AY90,InputsBG!$38:$38,0))/$AX90,0)</f>
        <v>0</v>
      </c>
      <c r="BA90" s="661">
        <f>IF($G90&lt;0,$G90*INDEX(InputsBG!$1:$1048576,BA$2,MATCH(Substrates!$AY90,InputsBG!$38:$38,0))/$AX90,0)</f>
        <v>0</v>
      </c>
      <c r="BB90" s="661">
        <f>IF($G90&lt;0,$G90*INDEX(InputsBG!$1:$1048576,BB$2,MATCH(Substrates!$AY90,InputsBG!$38:$38,0))/$AX90,0)</f>
        <v>0</v>
      </c>
      <c r="BC90" s="661">
        <f>IF($G90&lt;0,$G90*INDEX(InputsBG!$1:$1048576,BC$2,MATCH(Substrates!$AY90,InputsBG!$38:$38,0))/$AX90,0)</f>
        <v>0</v>
      </c>
      <c r="BD90" s="662">
        <f t="shared" si="47"/>
        <v>0</v>
      </c>
      <c r="BE90" s="645" t="e">
        <f t="shared" si="82"/>
        <v>#DIV/0!</v>
      </c>
      <c r="BF90" s="645" t="e">
        <f t="shared" si="83"/>
        <v>#DIV/0!</v>
      </c>
      <c r="BG90" s="663"/>
      <c r="BH90" s="584"/>
      <c r="BI90" s="584"/>
      <c r="BJ90" s="584"/>
      <c r="BK90" s="584"/>
      <c r="BL90" s="584"/>
      <c r="BM90" s="584"/>
      <c r="BN90" s="584"/>
      <c r="BO90" s="584"/>
      <c r="BP90" s="584"/>
      <c r="BQ90" s="584"/>
      <c r="BR90" s="584"/>
      <c r="BS90" s="584"/>
      <c r="BT90" s="584" t="str">
        <f t="shared" ref="BT90" si="114">LEFT(AY90,FIND("/",AY90)-1)</f>
        <v>sugar beets IP, at farm</v>
      </c>
      <c r="BU90" s="584"/>
    </row>
    <row r="91" spans="1:73" s="878" customFormat="1">
      <c r="A91" s="673"/>
      <c r="B91" s="673"/>
      <c r="C91" s="201"/>
      <c r="D91" s="625"/>
      <c r="E91" s="853"/>
      <c r="F91" s="853"/>
      <c r="G91" s="853"/>
      <c r="H91" s="853"/>
      <c r="I91" s="853"/>
      <c r="J91" s="853"/>
      <c r="K91" s="853"/>
      <c r="L91" s="853"/>
      <c r="M91" s="853"/>
      <c r="N91" s="853"/>
      <c r="O91" s="853"/>
      <c r="P91" s="853"/>
      <c r="Q91" s="853"/>
      <c r="R91" s="853"/>
      <c r="S91" s="629"/>
      <c r="T91" s="628"/>
      <c r="U91" s="628"/>
      <c r="V91" s="629"/>
      <c r="W91" s="628"/>
      <c r="X91" s="628"/>
      <c r="Y91" s="656"/>
      <c r="Z91" s="671"/>
      <c r="AA91" s="671"/>
      <c r="AB91" s="665"/>
      <c r="AC91" s="631"/>
      <c r="AD91" s="657"/>
      <c r="AE91" s="633"/>
      <c r="AF91" s="633"/>
      <c r="AG91" s="629"/>
      <c r="AH91" s="658"/>
      <c r="AI91" s="658"/>
      <c r="AJ91" s="627"/>
      <c r="AK91" s="630"/>
      <c r="AL91" s="634"/>
      <c r="AM91" s="659"/>
      <c r="AN91" s="659"/>
      <c r="AO91" s="659"/>
      <c r="AP91" s="638"/>
      <c r="AQ91" s="639"/>
      <c r="AR91" s="640"/>
      <c r="AS91" s="641"/>
      <c r="AT91" s="642"/>
      <c r="AU91" s="642"/>
      <c r="AV91" s="642"/>
      <c r="AW91" s="643"/>
      <c r="AX91" s="643"/>
      <c r="AY91" s="672"/>
      <c r="AZ91" s="661"/>
      <c r="BA91" s="661"/>
      <c r="BB91" s="661"/>
      <c r="BC91" s="661"/>
      <c r="BD91" s="662"/>
      <c r="BE91" s="645"/>
      <c r="BF91" s="645"/>
      <c r="BG91" s="663"/>
      <c r="BH91" s="584"/>
      <c r="BI91" s="584"/>
      <c r="BJ91" s="584"/>
      <c r="BK91" s="584"/>
      <c r="BL91" s="584"/>
      <c r="BM91" s="584"/>
      <c r="BN91" s="584"/>
      <c r="BO91" s="584"/>
      <c r="BP91" s="584"/>
      <c r="BQ91" s="584"/>
      <c r="BR91" s="584"/>
      <c r="BS91" s="584"/>
      <c r="BT91" s="584"/>
      <c r="BU91" s="584"/>
    </row>
    <row r="92" spans="1:73" s="878" customFormat="1" ht="14.25">
      <c r="A92" s="940" t="s">
        <v>1653</v>
      </c>
      <c r="B92" s="940" t="s">
        <v>1654</v>
      </c>
      <c r="C92" s="939" t="s">
        <v>1655</v>
      </c>
      <c r="D92" s="653"/>
      <c r="E92" s="980" t="str">
        <f t="shared" ref="E92" si="115">IF(sprache=1,A92,IF(sprache=2,B92,C92))</f>
        <v>Intercrops not competing with food and feed</v>
      </c>
      <c r="F92" s="1017" t="s">
        <v>74</v>
      </c>
      <c r="G92" s="1017" t="e">
        <f>Währung&amp;"/a"</f>
        <v>#N/A</v>
      </c>
      <c r="H92" s="1017" t="s">
        <v>273</v>
      </c>
      <c r="I92" s="1017" t="s">
        <v>273</v>
      </c>
      <c r="J92" s="1017"/>
      <c r="K92" s="1017"/>
      <c r="L92" s="1017" t="s">
        <v>75</v>
      </c>
      <c r="M92" s="1017" t="s">
        <v>1683</v>
      </c>
      <c r="N92" s="1018"/>
      <c r="O92" s="1018"/>
      <c r="P92" s="1018"/>
      <c r="Q92" s="1018"/>
      <c r="R92" s="1017"/>
      <c r="S92" s="683"/>
      <c r="T92" s="684"/>
      <c r="U92" s="684"/>
      <c r="V92" s="683"/>
      <c r="W92" s="684"/>
      <c r="X92" s="684"/>
      <c r="Y92" s="683"/>
      <c r="Z92" s="684"/>
      <c r="AA92" s="684"/>
      <c r="AB92" s="654"/>
      <c r="AC92" s="685"/>
      <c r="AD92" s="686"/>
      <c r="AE92" s="631"/>
      <c r="AF92" s="631"/>
      <c r="AG92" s="683"/>
      <c r="AH92" s="684"/>
      <c r="AI92" s="684"/>
      <c r="AJ92" s="684"/>
      <c r="AK92" s="687"/>
      <c r="AL92" s="684"/>
      <c r="AM92" s="688"/>
      <c r="AN92" s="689"/>
      <c r="AO92" s="688"/>
      <c r="AP92" s="684"/>
      <c r="AQ92" s="640"/>
      <c r="AR92" s="640"/>
      <c r="AS92" s="642"/>
      <c r="AT92" s="642"/>
      <c r="AU92" s="642"/>
      <c r="AV92" s="642"/>
      <c r="AW92" s="643"/>
      <c r="AX92" s="690"/>
      <c r="AY92" s="691"/>
      <c r="AZ92" s="661"/>
      <c r="BA92" s="661"/>
      <c r="BB92" s="661"/>
      <c r="BC92" s="661"/>
      <c r="BD92" s="662"/>
      <c r="BE92" s="645" t="e">
        <f t="shared" si="82"/>
        <v>#VALUE!</v>
      </c>
      <c r="BF92" s="645" t="e">
        <f t="shared" si="83"/>
        <v>#DIV/0!</v>
      </c>
      <c r="BG92" s="663"/>
      <c r="BH92" s="584"/>
      <c r="BI92" s="584"/>
      <c r="BJ92" s="584"/>
      <c r="BK92" s="584"/>
      <c r="BL92" s="584"/>
      <c r="BM92" s="584"/>
      <c r="BN92" s="584"/>
      <c r="BO92" s="584"/>
      <c r="BP92" s="584"/>
      <c r="BQ92" s="584"/>
      <c r="BR92" s="584"/>
      <c r="BS92" s="584"/>
      <c r="BT92" s="584"/>
      <c r="BU92" s="584"/>
    </row>
    <row r="93" spans="1:73" s="878" customFormat="1">
      <c r="A93" s="933" t="s">
        <v>560</v>
      </c>
      <c r="B93" s="673" t="s">
        <v>757</v>
      </c>
      <c r="C93" s="201" t="s">
        <v>1582</v>
      </c>
      <c r="D93" s="625"/>
      <c r="E93" s="819" t="str">
        <f>IF(sprache=1,A93,IF(sprache=2,B93,C93))</f>
        <v>Green rye</v>
      </c>
      <c r="F93" s="798">
        <v>0</v>
      </c>
      <c r="G93" s="900"/>
      <c r="H93" s="906">
        <v>0</v>
      </c>
      <c r="I93" s="906">
        <v>0</v>
      </c>
      <c r="J93" s="898"/>
      <c r="K93" s="898"/>
      <c r="L93" s="885">
        <f t="shared" ref="L93:L97" si="116">F93*S93*V93/10</f>
        <v>0</v>
      </c>
      <c r="M93" s="899">
        <f t="shared" ref="M93:M97" si="117">F93*S93*V93/10000*AG93</f>
        <v>0</v>
      </c>
      <c r="N93" s="899"/>
      <c r="O93" s="899"/>
      <c r="P93" s="899"/>
      <c r="Q93" s="899"/>
      <c r="R93" s="899"/>
      <c r="S93" s="629">
        <f>(T93+U93)/2</f>
        <v>32.5</v>
      </c>
      <c r="T93" s="628">
        <v>30</v>
      </c>
      <c r="U93" s="628">
        <v>35</v>
      </c>
      <c r="V93" s="629">
        <f>(W93+X93)/2</f>
        <v>95</v>
      </c>
      <c r="W93" s="628">
        <v>92</v>
      </c>
      <c r="X93" s="628">
        <v>98</v>
      </c>
      <c r="Y93" s="629">
        <f>(Z93+AA93)/2</f>
        <v>4</v>
      </c>
      <c r="Z93" s="671">
        <v>4</v>
      </c>
      <c r="AA93" s="671">
        <v>4</v>
      </c>
      <c r="AB93" s="665">
        <f>AVERAGE(0.47)/AVERAGE(4)*100</f>
        <v>11.75</v>
      </c>
      <c r="AC93" s="631">
        <f>AD93*Y93</f>
        <v>2.8</v>
      </c>
      <c r="AD93" s="657">
        <v>0.7</v>
      </c>
      <c r="AE93" s="633"/>
      <c r="AF93" s="633"/>
      <c r="AG93" s="629">
        <f>(AH93+AI93)/2</f>
        <v>615</v>
      </c>
      <c r="AH93" s="658">
        <v>550</v>
      </c>
      <c r="AI93" s="658">
        <v>680</v>
      </c>
      <c r="AJ93" s="627">
        <v>52</v>
      </c>
      <c r="AK93" s="630">
        <f>AJ93*$AG93/100</f>
        <v>319.8</v>
      </c>
      <c r="AL93" s="634">
        <f t="shared" ref="AL93:AL97" si="118">L93*50%*28.62%*12.5%</f>
        <v>0</v>
      </c>
      <c r="AM93" s="635"/>
      <c r="AN93" s="689"/>
      <c r="AO93" s="635"/>
      <c r="AP93" s="638" t="e">
        <f>$M93*CH4_Gehalt*CH4_nichtabgedeckt*(1+Faktor_CH4_flüssig)*GärrestFlüssigMenge/(GärrestFestMenge+GärrestFlüssigMenge)</f>
        <v>#N/A</v>
      </c>
      <c r="AQ93" s="639" t="e">
        <f t="shared" ref="AQ93:AQ97" si="119">F93*1000*S93/100*Y93/100*AB93/100*NH3emittiert*AnteilNH3Lagerung*(1+NH3plus)*((1+Faktor_NH3_Behandlung)*Anteil_V_fest+(1+FaktorNH3GülleBehandlung)*Anteil_V_flüssig)</f>
        <v>#N/A</v>
      </c>
      <c r="AR93" s="640" t="e">
        <f>IF(AR$137,F93*1000*S93/100*Y93/100*AB93/100*NH3emittiert*AR$2*(1+NH3plusAusbringung)*((1+Faktor_NH3fest_aus)*Anteil_V_fest+(1+Faktor_NH3_Ausbringung)*Anteil_V_flüssig),0)</f>
        <v>#N/A</v>
      </c>
      <c r="AS93" s="641" t="e">
        <f t="shared" ref="AS93:AS97" si="120">F93*(N2O_Gülle*Anteil_V_flüssig*(1+Faktor_N2O_GülleBehandlung)+N2O_Kompost*Anteil_V_fest*(1+Faktor_N2O_Behandlung))</f>
        <v>#DIV/0!</v>
      </c>
      <c r="AT93" s="642" t="e">
        <f>FaktorenBG!F$43*(1+FaktorenBG!F$56)*IF(Auswahl_Behandlung_fest&lt;5,$F93,0)</f>
        <v>#N/A</v>
      </c>
      <c r="AU93" s="642" t="e">
        <f>FaktorenBG!G$43*(1+FaktorenBG!G$56)*IF(Auswahl_Behandlung_fest&lt;5,$F93,0)</f>
        <v>#N/A</v>
      </c>
      <c r="AV93" s="642" t="e">
        <f>FaktorenBG!H$43*(1+FaktorenBG!H$56)*IF(Auswahl_Behandlung_fest&lt;5,$F93,0)</f>
        <v>#N/A</v>
      </c>
      <c r="AW93" s="643"/>
      <c r="AX93" s="643"/>
      <c r="AY93" s="626" t="s">
        <v>720</v>
      </c>
      <c r="AZ93" s="692">
        <f>INDEX(SimaPro!$1:$1048576,AZ$1,MATCH(Substrates!$AY93,SimaPro!$1:$1,0))*$F93*1000</f>
        <v>0</v>
      </c>
      <c r="BA93" s="692">
        <f>INDEX(SimaPro!$1:$1048576,BA$1,MATCH(Substrates!$AY93,SimaPro!$1:$1,0))*$F93*1000</f>
        <v>0</v>
      </c>
      <c r="BB93" s="692">
        <f>INDEX(SimaPro!$1:$1048576,BB$1,MATCH(Substrates!$AY93,SimaPro!$1:$1,0))*$F93*1000</f>
        <v>0</v>
      </c>
      <c r="BC93" s="692">
        <f>INDEX(SimaPro!$1:$1048576,BC$1,MATCH(Substrates!$AY93,SimaPro!$1:$1,0))*$F93*1000</f>
        <v>0</v>
      </c>
      <c r="BD93" s="662" t="s">
        <v>1675</v>
      </c>
      <c r="BE93" s="645" t="e">
        <f>M93/Gasertrag_berechnet</f>
        <v>#DIV/0!</v>
      </c>
      <c r="BF93" s="645" t="e">
        <f>AZ93/Belastung_Substrat</f>
        <v>#DIV/0!</v>
      </c>
      <c r="BG93" s="663"/>
      <c r="BH93" s="584"/>
      <c r="BI93" s="584"/>
      <c r="BJ93" s="584"/>
      <c r="BK93" s="584"/>
      <c r="BL93" s="584"/>
      <c r="BM93" s="584"/>
      <c r="BN93" s="584"/>
      <c r="BO93" s="584"/>
      <c r="BP93" s="584"/>
      <c r="BQ93" s="584"/>
      <c r="BR93" s="584"/>
      <c r="BS93" s="584"/>
      <c r="BT93" s="584"/>
      <c r="BU93" s="584"/>
    </row>
    <row r="94" spans="1:73" s="878" customFormat="1">
      <c r="A94" s="933" t="s">
        <v>561</v>
      </c>
      <c r="B94" s="673" t="s">
        <v>756</v>
      </c>
      <c r="C94" s="201" t="s">
        <v>1583</v>
      </c>
      <c r="D94" s="625"/>
      <c r="E94" s="819" t="str">
        <f>IF(sprache=1,A94,IF(sprache=2,B94,C94))</f>
        <v>Clover grass</v>
      </c>
      <c r="F94" s="798">
        <v>0</v>
      </c>
      <c r="G94" s="900"/>
      <c r="H94" s="906">
        <v>0</v>
      </c>
      <c r="I94" s="906">
        <v>0</v>
      </c>
      <c r="J94" s="898"/>
      <c r="K94" s="898"/>
      <c r="L94" s="885">
        <f t="shared" si="116"/>
        <v>0</v>
      </c>
      <c r="M94" s="899">
        <f t="shared" si="117"/>
        <v>0</v>
      </c>
      <c r="N94" s="899"/>
      <c r="O94" s="899"/>
      <c r="P94" s="899"/>
      <c r="Q94" s="899"/>
      <c r="R94" s="899"/>
      <c r="S94" s="629">
        <f>(T94+U94)/2</f>
        <v>42.5</v>
      </c>
      <c r="T94" s="628">
        <v>25</v>
      </c>
      <c r="U94" s="628">
        <v>60</v>
      </c>
      <c r="V94" s="629">
        <f>(W94+X94)/2</f>
        <v>82.5</v>
      </c>
      <c r="W94" s="628">
        <v>69</v>
      </c>
      <c r="X94" s="628">
        <v>96</v>
      </c>
      <c r="Y94" s="629">
        <f>(Z94+AA94)/2</f>
        <v>5.2</v>
      </c>
      <c r="Z94" s="671">
        <v>3.5</v>
      </c>
      <c r="AA94" s="671">
        <v>6.9</v>
      </c>
      <c r="AB94" s="665">
        <f>AVERAGE(3.5,6.9)/AVERAGE(6.9,19.8)*100</f>
        <v>38.951310861423217</v>
      </c>
      <c r="AC94" s="631">
        <f>AD94*Y94</f>
        <v>3.6399999999999997</v>
      </c>
      <c r="AD94" s="657">
        <v>0.7</v>
      </c>
      <c r="AE94" s="633">
        <v>6.9</v>
      </c>
      <c r="AF94" s="633">
        <v>19.8</v>
      </c>
      <c r="AG94" s="629">
        <f>(AH94+AI94)/2</f>
        <v>565</v>
      </c>
      <c r="AH94" s="658">
        <v>520</v>
      </c>
      <c r="AI94" s="658">
        <v>610</v>
      </c>
      <c r="AJ94" s="627">
        <v>52</v>
      </c>
      <c r="AK94" s="630">
        <f>AJ94*$AG94/100</f>
        <v>293.8</v>
      </c>
      <c r="AL94" s="634">
        <f t="shared" si="118"/>
        <v>0</v>
      </c>
      <c r="AM94" s="635"/>
      <c r="AN94" s="689"/>
      <c r="AO94" s="635"/>
      <c r="AP94" s="638" t="e">
        <f>$M94*CH4_Gehalt*CH4_nichtabgedeckt*(1+Faktor_CH4_flüssig)*GärrestFlüssigMenge/(GärrestFestMenge+GärrestFlüssigMenge)</f>
        <v>#N/A</v>
      </c>
      <c r="AQ94" s="639" t="e">
        <f t="shared" si="119"/>
        <v>#N/A</v>
      </c>
      <c r="AR94" s="640" t="e">
        <f>IF(AR$137,F94*1000*S94/100*Y94/100*AB94/100*NH3emittiert*AR$2*(1+NH3plusAusbringung)*((1+Faktor_NH3fest_aus)*Anteil_V_fest+(1+Faktor_NH3_Ausbringung)*Anteil_V_flüssig),0)</f>
        <v>#N/A</v>
      </c>
      <c r="AS94" s="641" t="e">
        <f t="shared" si="120"/>
        <v>#DIV/0!</v>
      </c>
      <c r="AT94" s="642" t="e">
        <f>FaktorenBG!F$43*(1+FaktorenBG!F$56)*IF(Auswahl_Behandlung_fest&lt;5,$F94,0)</f>
        <v>#N/A</v>
      </c>
      <c r="AU94" s="642" t="e">
        <f>FaktorenBG!G$43*(1+FaktorenBG!G$56)*IF(Auswahl_Behandlung_fest&lt;5,$F94,0)</f>
        <v>#N/A</v>
      </c>
      <c r="AV94" s="642" t="e">
        <f>FaktorenBG!H$43*(1+FaktorenBG!H$56)*IF(Auswahl_Behandlung_fest&lt;5,$F94,0)</f>
        <v>#N/A</v>
      </c>
      <c r="AW94" s="643"/>
      <c r="AX94" s="643"/>
      <c r="AY94" s="626" t="s">
        <v>1046</v>
      </c>
      <c r="AZ94" s="692">
        <f>INDEX(SimaPro!$1:$1048576,AZ$1,MATCH(Substrates!$AY94,SimaPro!$1:$1,0))*$F94*1000</f>
        <v>0</v>
      </c>
      <c r="BA94" s="692">
        <f>INDEX(SimaPro!$1:$1048576,BA$1,MATCH(Substrates!$AY94,SimaPro!$1:$1,0))*$F94*1000</f>
        <v>0</v>
      </c>
      <c r="BB94" s="692">
        <f>INDEX(SimaPro!$1:$1048576,BB$1,MATCH(Substrates!$AY94,SimaPro!$1:$1,0))*$F94*1000</f>
        <v>0</v>
      </c>
      <c r="BC94" s="692">
        <f>INDEX(SimaPro!$1:$1048576,BC$1,MATCH(Substrates!$AY94,SimaPro!$1:$1,0))*$F94*1000</f>
        <v>0</v>
      </c>
      <c r="BD94" s="662" t="s">
        <v>1675</v>
      </c>
      <c r="BE94" s="645" t="e">
        <f>M94/Gasertrag_berechnet</f>
        <v>#DIV/0!</v>
      </c>
      <c r="BF94" s="645" t="e">
        <f>AZ94/Belastung_Substrat</f>
        <v>#DIV/0!</v>
      </c>
      <c r="BG94" s="663"/>
      <c r="BH94" s="584"/>
      <c r="BI94" s="584"/>
      <c r="BJ94" s="584"/>
      <c r="BK94" s="584"/>
      <c r="BL94" s="584"/>
      <c r="BM94" s="584"/>
      <c r="BN94" s="584"/>
      <c r="BO94" s="584"/>
      <c r="BP94" s="584"/>
      <c r="BQ94" s="584"/>
      <c r="BR94" s="584"/>
      <c r="BS94" s="584"/>
      <c r="BT94" s="584"/>
      <c r="BU94" s="584"/>
    </row>
    <row r="95" spans="1:73" s="878" customFormat="1">
      <c r="A95" s="933" t="s">
        <v>716</v>
      </c>
      <c r="B95" s="673" t="s">
        <v>764</v>
      </c>
      <c r="C95" s="201" t="s">
        <v>1584</v>
      </c>
      <c r="D95" s="625"/>
      <c r="E95" s="819" t="str">
        <f>IF(sprache=1,A95,IF(sprache=2,B95,C95))</f>
        <v>Grass IP</v>
      </c>
      <c r="F95" s="798">
        <v>0</v>
      </c>
      <c r="G95" s="900"/>
      <c r="H95" s="906">
        <v>0</v>
      </c>
      <c r="I95" s="906">
        <v>0</v>
      </c>
      <c r="J95" s="898"/>
      <c r="K95" s="898"/>
      <c r="L95" s="885">
        <f t="shared" ref="L95:L96" si="121">F95*S95*V95/10</f>
        <v>0</v>
      </c>
      <c r="M95" s="899">
        <f t="shared" ref="M95:M96" si="122">F95*S95*V95/10000*AG95</f>
        <v>0</v>
      </c>
      <c r="N95" s="899"/>
      <c r="O95" s="899"/>
      <c r="P95" s="899"/>
      <c r="Q95" s="899"/>
      <c r="R95" s="899"/>
      <c r="S95" s="629">
        <f t="shared" ref="S95:S96" si="123">(T95+U95)/2</f>
        <v>42.5</v>
      </c>
      <c r="T95" s="628">
        <v>25</v>
      </c>
      <c r="U95" s="628">
        <v>60</v>
      </c>
      <c r="V95" s="629">
        <f t="shared" ref="V95:V96" si="124">(W95+X95)/2</f>
        <v>82.5</v>
      </c>
      <c r="W95" s="628">
        <v>69</v>
      </c>
      <c r="X95" s="628">
        <v>96</v>
      </c>
      <c r="Y95" s="629">
        <f t="shared" ref="Y95:Y96" si="125">(Z95+AA95)/2</f>
        <v>5.2</v>
      </c>
      <c r="Z95" s="671">
        <v>3.5</v>
      </c>
      <c r="AA95" s="671">
        <v>6.9</v>
      </c>
      <c r="AB95" s="665">
        <f t="shared" ref="AB95:AB96" si="126">AVERAGE(3.5,6.9)/AVERAGE(6.9,19.8)*100</f>
        <v>38.951310861423217</v>
      </c>
      <c r="AC95" s="631">
        <f t="shared" ref="AC95:AC96" si="127">AD95*Y95</f>
        <v>3.6399999999999997</v>
      </c>
      <c r="AD95" s="657">
        <v>0.7</v>
      </c>
      <c r="AE95" s="633">
        <v>6.9</v>
      </c>
      <c r="AF95" s="633">
        <v>19.8</v>
      </c>
      <c r="AG95" s="629">
        <f t="shared" ref="AG95:AG96" si="128">(AH95+AI95)/2</f>
        <v>565</v>
      </c>
      <c r="AH95" s="658">
        <v>520</v>
      </c>
      <c r="AI95" s="658">
        <v>610</v>
      </c>
      <c r="AJ95" s="627">
        <v>52</v>
      </c>
      <c r="AK95" s="630">
        <f>AJ95*$AG95/100</f>
        <v>293.8</v>
      </c>
      <c r="AL95" s="634">
        <f t="shared" ref="AL95:AL96" si="129">L95*50%*28.62%*12.5%</f>
        <v>0</v>
      </c>
      <c r="AM95" s="635"/>
      <c r="AN95" s="689"/>
      <c r="AO95" s="635"/>
      <c r="AP95" s="638" t="e">
        <f>$M95*CH4_Gehalt*CH4_nichtabgedeckt*(1+Faktor_CH4_flüssig)*GärrestFlüssigMenge/(GärrestFestMenge+GärrestFlüssigMenge)</f>
        <v>#N/A</v>
      </c>
      <c r="AQ95" s="639" t="e">
        <f t="shared" ref="AQ95:AQ96" si="130">F95*1000*S95/100*Y95/100*AB95/100*NH3emittiert*AnteilNH3Lagerung*(1+NH3plus)*((1+Faktor_NH3_Behandlung)*Anteil_V_fest+(1+FaktorNH3GülleBehandlung)*Anteil_V_flüssig)</f>
        <v>#N/A</v>
      </c>
      <c r="AR95" s="640" t="e">
        <f>IF(AR$137,F95*1000*S95/100*Y95/100*AB95/100*NH3emittiert*AR$2*(1+NH3plusAusbringung)*((1+Faktor_NH3fest_aus)*Anteil_V_fest+(1+Faktor_NH3_Ausbringung)*Anteil_V_flüssig),0)</f>
        <v>#N/A</v>
      </c>
      <c r="AS95" s="641" t="e">
        <f t="shared" ref="AS95:AS96" si="131">F95*(N2O_Gülle*Anteil_V_flüssig*(1+Faktor_N2O_GülleBehandlung)+N2O_Kompost*Anteil_V_fest*(1+Faktor_N2O_Behandlung))</f>
        <v>#DIV/0!</v>
      </c>
      <c r="AT95" s="642" t="e">
        <f>FaktorenBG!F$43*(1+FaktorenBG!F$56)*IF(Auswahl_Behandlung_fest&lt;5,$F95,0)</f>
        <v>#N/A</v>
      </c>
      <c r="AU95" s="642" t="e">
        <f>FaktorenBG!G$43*(1+FaktorenBG!G$56)*IF(Auswahl_Behandlung_fest&lt;5,$F95,0)</f>
        <v>#N/A</v>
      </c>
      <c r="AV95" s="642" t="e">
        <f>FaktorenBG!H$43*(1+FaktorenBG!H$56)*IF(Auswahl_Behandlung_fest&lt;5,$F95,0)</f>
        <v>#N/A</v>
      </c>
      <c r="AW95" s="643"/>
      <c r="AX95" s="643"/>
      <c r="AY95" s="626" t="s">
        <v>1046</v>
      </c>
      <c r="AZ95" s="692">
        <f>INDEX(SimaPro!$1:$1048576,AZ$1,MATCH(Substrates!$AY95,SimaPro!$1:$1,0))*$F95*1000</f>
        <v>0</v>
      </c>
      <c r="BA95" s="692">
        <f>INDEX(SimaPro!$1:$1048576,BA$1,MATCH(Substrates!$AY95,SimaPro!$1:$1,0))*$F95*1000</f>
        <v>0</v>
      </c>
      <c r="BB95" s="692">
        <f>INDEX(SimaPro!$1:$1048576,BB$1,MATCH(Substrates!$AY95,SimaPro!$1:$1,0))*$F95*1000</f>
        <v>0</v>
      </c>
      <c r="BC95" s="692">
        <f>INDEX(SimaPro!$1:$1048576,BC$1,MATCH(Substrates!$AY95,SimaPro!$1:$1,0))*$F95*1000</f>
        <v>0</v>
      </c>
      <c r="BD95" s="662" t="s">
        <v>1675</v>
      </c>
      <c r="BE95" s="645" t="e">
        <f>M95/Gasertrag_berechnet</f>
        <v>#DIV/0!</v>
      </c>
      <c r="BF95" s="645" t="e">
        <f>AZ95/Belastung_Substrat</f>
        <v>#DIV/0!</v>
      </c>
      <c r="BG95" s="663"/>
      <c r="BH95" s="584"/>
      <c r="BI95" s="584"/>
      <c r="BJ95" s="584"/>
      <c r="BK95" s="584"/>
      <c r="BL95" s="584"/>
      <c r="BM95" s="584"/>
      <c r="BN95" s="584"/>
      <c r="BO95" s="584"/>
      <c r="BP95" s="584"/>
      <c r="BQ95" s="584"/>
      <c r="BR95" s="584"/>
      <c r="BS95" s="584"/>
      <c r="BT95" s="584"/>
      <c r="BU95" s="584"/>
    </row>
    <row r="96" spans="1:73" s="878" customFormat="1">
      <c r="A96" s="933" t="s">
        <v>717</v>
      </c>
      <c r="B96" s="673" t="s">
        <v>765</v>
      </c>
      <c r="C96" s="201" t="s">
        <v>1585</v>
      </c>
      <c r="D96" s="625"/>
      <c r="E96" s="819" t="str">
        <f>IF(sprache=1,A96,IF(sprache=2,B96,C96))</f>
        <v>Grass Organic</v>
      </c>
      <c r="F96" s="798">
        <v>0</v>
      </c>
      <c r="G96" s="900"/>
      <c r="H96" s="906">
        <v>0</v>
      </c>
      <c r="I96" s="906">
        <v>0</v>
      </c>
      <c r="J96" s="898"/>
      <c r="K96" s="898"/>
      <c r="L96" s="885">
        <f t="shared" si="121"/>
        <v>0</v>
      </c>
      <c r="M96" s="899">
        <f t="shared" si="122"/>
        <v>0</v>
      </c>
      <c r="N96" s="899"/>
      <c r="O96" s="899"/>
      <c r="P96" s="899"/>
      <c r="Q96" s="899"/>
      <c r="R96" s="899"/>
      <c r="S96" s="629">
        <f t="shared" si="123"/>
        <v>42.5</v>
      </c>
      <c r="T96" s="628">
        <v>25</v>
      </c>
      <c r="U96" s="628">
        <v>60</v>
      </c>
      <c r="V96" s="629">
        <f t="shared" si="124"/>
        <v>82.5</v>
      </c>
      <c r="W96" s="628">
        <v>69</v>
      </c>
      <c r="X96" s="628">
        <v>96</v>
      </c>
      <c r="Y96" s="629">
        <f t="shared" si="125"/>
        <v>5.2</v>
      </c>
      <c r="Z96" s="671">
        <v>3.5</v>
      </c>
      <c r="AA96" s="671">
        <v>6.9</v>
      </c>
      <c r="AB96" s="665">
        <f t="shared" si="126"/>
        <v>38.951310861423217</v>
      </c>
      <c r="AC96" s="631">
        <f t="shared" si="127"/>
        <v>3.6399999999999997</v>
      </c>
      <c r="AD96" s="657">
        <v>0.7</v>
      </c>
      <c r="AE96" s="633">
        <v>6.9</v>
      </c>
      <c r="AF96" s="633">
        <v>19.8</v>
      </c>
      <c r="AG96" s="629">
        <f t="shared" si="128"/>
        <v>565</v>
      </c>
      <c r="AH96" s="658">
        <v>520</v>
      </c>
      <c r="AI96" s="658">
        <v>610</v>
      </c>
      <c r="AJ96" s="627">
        <v>52</v>
      </c>
      <c r="AK96" s="630">
        <f>AJ96*$AG96/100</f>
        <v>293.8</v>
      </c>
      <c r="AL96" s="634">
        <f t="shared" si="129"/>
        <v>0</v>
      </c>
      <c r="AM96" s="635"/>
      <c r="AN96" s="689"/>
      <c r="AO96" s="635"/>
      <c r="AP96" s="638" t="e">
        <f>$M96*CH4_Gehalt*CH4_nichtabgedeckt*(1+Faktor_CH4_flüssig)*GärrestFlüssigMenge/(GärrestFestMenge+GärrestFlüssigMenge)</f>
        <v>#N/A</v>
      </c>
      <c r="AQ96" s="639" t="e">
        <f t="shared" si="130"/>
        <v>#N/A</v>
      </c>
      <c r="AR96" s="640" t="e">
        <f>IF(AR$137,F96*1000*S96/100*Y96/100*AB96/100*NH3emittiert*AR$2*(1+NH3plusAusbringung)*((1+Faktor_NH3fest_aus)*Anteil_V_fest+(1+Faktor_NH3_Ausbringung)*Anteil_V_flüssig),0)</f>
        <v>#N/A</v>
      </c>
      <c r="AS96" s="641" t="e">
        <f t="shared" si="131"/>
        <v>#DIV/0!</v>
      </c>
      <c r="AT96" s="642" t="e">
        <f>FaktorenBG!F$43*(1+FaktorenBG!F$56)*IF(Auswahl_Behandlung_fest&lt;5,$F96,0)</f>
        <v>#N/A</v>
      </c>
      <c r="AU96" s="642" t="e">
        <f>FaktorenBG!G$43*(1+FaktorenBG!G$56)*IF(Auswahl_Behandlung_fest&lt;5,$F96,0)</f>
        <v>#N/A</v>
      </c>
      <c r="AV96" s="642" t="e">
        <f>FaktorenBG!H$43*(1+FaktorenBG!H$56)*IF(Auswahl_Behandlung_fest&lt;5,$F96,0)</f>
        <v>#N/A</v>
      </c>
      <c r="AW96" s="643"/>
      <c r="AX96" s="643"/>
      <c r="AY96" s="672" t="s">
        <v>1040</v>
      </c>
      <c r="AZ96" s="692">
        <f>INDEX(SimaPro!$1:$1048576,AZ$1,MATCH(Substrates!$AY96,SimaPro!$1:$1,0))*$F96*1000</f>
        <v>0</v>
      </c>
      <c r="BA96" s="692">
        <f>INDEX(SimaPro!$1:$1048576,BA$1,MATCH(Substrates!$AY96,SimaPro!$1:$1,0))*$F96*1000</f>
        <v>0</v>
      </c>
      <c r="BB96" s="692">
        <f>INDEX(SimaPro!$1:$1048576,BB$1,MATCH(Substrates!$AY96,SimaPro!$1:$1,0))*$F96*1000</f>
        <v>0</v>
      </c>
      <c r="BC96" s="692">
        <f>INDEX(SimaPro!$1:$1048576,BC$1,MATCH(Substrates!$AY96,SimaPro!$1:$1,0))*$F96*1000</f>
        <v>0</v>
      </c>
      <c r="BD96" s="662" t="s">
        <v>1675</v>
      </c>
      <c r="BE96" s="645" t="e">
        <f>M96/Gasertrag_berechnet</f>
        <v>#DIV/0!</v>
      </c>
      <c r="BF96" s="645" t="e">
        <f>AZ96/Belastung_Substrat</f>
        <v>#DIV/0!</v>
      </c>
      <c r="BG96" s="663"/>
      <c r="BH96" s="584"/>
      <c r="BI96" s="584"/>
      <c r="BJ96" s="584"/>
      <c r="BK96" s="584"/>
      <c r="BL96" s="584"/>
      <c r="BM96" s="584"/>
      <c r="BN96" s="584"/>
      <c r="BO96" s="584"/>
      <c r="BP96" s="584"/>
      <c r="BQ96" s="584"/>
      <c r="BR96" s="584"/>
      <c r="BS96" s="584"/>
      <c r="BT96" s="584"/>
      <c r="BU96" s="584"/>
    </row>
    <row r="97" spans="1:73" s="878" customFormat="1">
      <c r="A97" s="933" t="s">
        <v>639</v>
      </c>
      <c r="B97" s="673" t="s">
        <v>766</v>
      </c>
      <c r="C97" s="201" t="s">
        <v>1586</v>
      </c>
      <c r="D97" s="625"/>
      <c r="E97" s="819" t="str">
        <f>IF(sprache=1,A97,IF(sprache=2,B97,C97))</f>
        <v>Extensive meadow</v>
      </c>
      <c r="F97" s="798">
        <v>0</v>
      </c>
      <c r="G97" s="900"/>
      <c r="H97" s="906">
        <v>0</v>
      </c>
      <c r="I97" s="906">
        <v>0</v>
      </c>
      <c r="J97" s="898"/>
      <c r="K97" s="898"/>
      <c r="L97" s="885">
        <f t="shared" si="116"/>
        <v>0</v>
      </c>
      <c r="M97" s="899">
        <f t="shared" si="117"/>
        <v>0</v>
      </c>
      <c r="N97" s="899"/>
      <c r="O97" s="899"/>
      <c r="P97" s="899"/>
      <c r="Q97" s="899"/>
      <c r="R97" s="899"/>
      <c r="S97" s="629">
        <f>(T97+U97)/2</f>
        <v>42.5</v>
      </c>
      <c r="T97" s="628">
        <v>25</v>
      </c>
      <c r="U97" s="628">
        <v>60</v>
      </c>
      <c r="V97" s="629">
        <f>(W97+X97)/2</f>
        <v>82.5</v>
      </c>
      <c r="W97" s="628">
        <v>69</v>
      </c>
      <c r="X97" s="628">
        <v>96</v>
      </c>
      <c r="Y97" s="629">
        <f>(Z97+AA97)/2</f>
        <v>5.2</v>
      </c>
      <c r="Z97" s="671">
        <v>3.5</v>
      </c>
      <c r="AA97" s="671">
        <v>6.9</v>
      </c>
      <c r="AB97" s="665">
        <f t="shared" ref="AB97:AB108" si="132">AVERAGE(3.5,6.9)/AVERAGE(6.9,19.8)*100</f>
        <v>38.951310861423217</v>
      </c>
      <c r="AC97" s="631">
        <f>AD97*Y97</f>
        <v>3.6399999999999997</v>
      </c>
      <c r="AD97" s="657">
        <v>0.7</v>
      </c>
      <c r="AE97" s="633">
        <v>6.9</v>
      </c>
      <c r="AF97" s="633">
        <v>19.8</v>
      </c>
      <c r="AG97" s="629">
        <f>(AH97+AI97)/2</f>
        <v>565</v>
      </c>
      <c r="AH97" s="658">
        <v>520</v>
      </c>
      <c r="AI97" s="658">
        <v>610</v>
      </c>
      <c r="AJ97" s="627">
        <v>54</v>
      </c>
      <c r="AK97" s="630">
        <f>AJ97*$AG97/100</f>
        <v>305.10000000000002</v>
      </c>
      <c r="AL97" s="634">
        <f t="shared" si="118"/>
        <v>0</v>
      </c>
      <c r="AM97" s="635"/>
      <c r="AN97" s="689"/>
      <c r="AO97" s="635"/>
      <c r="AP97" s="638" t="e">
        <f>$M97*CH4_Gehalt*CH4_nichtabgedeckt*(1+Faktor_CH4_flüssig)*GärrestFlüssigMenge/(GärrestFestMenge+GärrestFlüssigMenge)</f>
        <v>#N/A</v>
      </c>
      <c r="AQ97" s="639" t="e">
        <f t="shared" si="119"/>
        <v>#N/A</v>
      </c>
      <c r="AR97" s="640" t="e">
        <f>IF(AR$137,F97*1000*S97/100*Y97/100*AB97/100*NH3emittiert*AR$2*(1+NH3plusAusbringung)*((1+Faktor_NH3fest_aus)*Anteil_V_fest+(1+Faktor_NH3_Ausbringung)*Anteil_V_flüssig),0)</f>
        <v>#N/A</v>
      </c>
      <c r="AS97" s="641" t="e">
        <f t="shared" si="120"/>
        <v>#DIV/0!</v>
      </c>
      <c r="AT97" s="642" t="e">
        <f>FaktorenBG!F$43*(1+FaktorenBG!F$56)*IF(Auswahl_Behandlung_fest&lt;5,$F97,0)</f>
        <v>#N/A</v>
      </c>
      <c r="AU97" s="642" t="e">
        <f>FaktorenBG!G$43*(1+FaktorenBG!G$56)*IF(Auswahl_Behandlung_fest&lt;5,$F97,0)</f>
        <v>#N/A</v>
      </c>
      <c r="AV97" s="642" t="e">
        <f>FaktorenBG!H$43*(1+FaktorenBG!H$56)*IF(Auswahl_Behandlung_fest&lt;5,$F97,0)</f>
        <v>#N/A</v>
      </c>
      <c r="AW97" s="643"/>
      <c r="AX97" s="643"/>
      <c r="AY97" s="168" t="s">
        <v>1049</v>
      </c>
      <c r="AZ97" s="692">
        <f>INDEX(SimaPro!$1:$1048576,AZ$1,MATCH(Substrates!$AY97,SimaPro!$1:$1,0))*$F97*1000</f>
        <v>0</v>
      </c>
      <c r="BA97" s="692">
        <f>INDEX(SimaPro!$1:$1048576,BA$1,MATCH(Substrates!$AY97,SimaPro!$1:$1,0))*$F97*1000</f>
        <v>0</v>
      </c>
      <c r="BB97" s="692">
        <f>INDEX(SimaPro!$1:$1048576,BB$1,MATCH(Substrates!$AY97,SimaPro!$1:$1,0))*$F97*1000</f>
        <v>0</v>
      </c>
      <c r="BC97" s="692">
        <f>INDEX(SimaPro!$1:$1048576,BC$1,MATCH(Substrates!$AY97,SimaPro!$1:$1,0))*$F97*1000</f>
        <v>0</v>
      </c>
      <c r="BD97" s="662" t="s">
        <v>1675</v>
      </c>
      <c r="BE97" s="645" t="e">
        <f>M97/Gasertrag_berechnet</f>
        <v>#DIV/0!</v>
      </c>
      <c r="BF97" s="645" t="e">
        <f>AZ97/Belastung_Substrat</f>
        <v>#DIV/0!</v>
      </c>
      <c r="BG97" s="663"/>
      <c r="BH97" s="584"/>
      <c r="BI97" s="584"/>
      <c r="BJ97" s="584"/>
      <c r="BK97" s="584"/>
      <c r="BL97" s="584"/>
      <c r="BM97" s="584"/>
      <c r="BN97" s="584"/>
      <c r="BO97" s="584"/>
      <c r="BP97" s="584"/>
      <c r="BQ97" s="584"/>
      <c r="BR97" s="584"/>
      <c r="BS97" s="584"/>
      <c r="BT97" s="584"/>
      <c r="BU97" s="584"/>
    </row>
    <row r="98" spans="1:73" s="878" customFormat="1">
      <c r="A98" s="933"/>
      <c r="B98" s="673"/>
      <c r="C98" s="201"/>
      <c r="D98" s="625"/>
      <c r="E98" s="853"/>
      <c r="F98" s="853"/>
      <c r="G98" s="853"/>
      <c r="H98" s="853"/>
      <c r="I98" s="853"/>
      <c r="J98" s="853"/>
      <c r="K98" s="853"/>
      <c r="L98" s="853"/>
      <c r="M98" s="853"/>
      <c r="N98" s="853"/>
      <c r="O98" s="853"/>
      <c r="P98" s="853"/>
      <c r="Q98" s="853"/>
      <c r="R98" s="853"/>
      <c r="S98" s="629"/>
      <c r="T98" s="628"/>
      <c r="U98" s="628"/>
      <c r="V98" s="629"/>
      <c r="W98" s="628"/>
      <c r="X98" s="628"/>
      <c r="Y98" s="629"/>
      <c r="Z98" s="671"/>
      <c r="AA98" s="671"/>
      <c r="AB98" s="665"/>
      <c r="AC98" s="631"/>
      <c r="AD98" s="657"/>
      <c r="AE98" s="633"/>
      <c r="AF98" s="633"/>
      <c r="AG98" s="629"/>
      <c r="AH98" s="658"/>
      <c r="AI98" s="658"/>
      <c r="AJ98" s="627"/>
      <c r="AK98" s="630"/>
      <c r="AL98" s="634"/>
      <c r="AM98" s="635"/>
      <c r="AN98" s="689"/>
      <c r="AO98" s="635"/>
      <c r="AP98" s="638"/>
      <c r="AQ98" s="639"/>
      <c r="AR98" s="640"/>
      <c r="AS98" s="641"/>
      <c r="AT98" s="642"/>
      <c r="AU98" s="642"/>
      <c r="AV98" s="642"/>
      <c r="AW98" s="643"/>
      <c r="AX98" s="643"/>
      <c r="AY98" s="168"/>
      <c r="AZ98" s="692"/>
      <c r="BA98" s="692"/>
      <c r="BB98" s="692"/>
      <c r="BC98" s="692"/>
      <c r="BD98" s="662"/>
      <c r="BE98" s="645"/>
      <c r="BF98" s="645"/>
      <c r="BG98" s="663"/>
      <c r="BH98" s="584"/>
      <c r="BI98" s="584"/>
      <c r="BJ98" s="584"/>
      <c r="BK98" s="584"/>
      <c r="BL98" s="584"/>
      <c r="BM98" s="584"/>
      <c r="BN98" s="584"/>
      <c r="BO98" s="584"/>
      <c r="BP98" s="584"/>
      <c r="BQ98" s="584"/>
      <c r="BR98" s="584"/>
      <c r="BS98" s="584"/>
      <c r="BT98" s="584"/>
      <c r="BU98" s="584"/>
    </row>
    <row r="99" spans="1:73" s="878" customFormat="1" ht="14.25">
      <c r="A99" s="940" t="s">
        <v>1839</v>
      </c>
      <c r="B99" s="940" t="s">
        <v>2470</v>
      </c>
      <c r="C99" s="939" t="s">
        <v>2468</v>
      </c>
      <c r="D99" s="653"/>
      <c r="E99" s="980" t="str">
        <f t="shared" si="81"/>
        <v>Glycerine</v>
      </c>
      <c r="F99" s="1017" t="s">
        <v>74</v>
      </c>
      <c r="G99" s="1017" t="e">
        <f>Währung&amp;"/a"</f>
        <v>#N/A</v>
      </c>
      <c r="H99" s="1017" t="s">
        <v>273</v>
      </c>
      <c r="I99" s="1017" t="s">
        <v>273</v>
      </c>
      <c r="J99" s="1017"/>
      <c r="K99" s="1017"/>
      <c r="L99" s="1017" t="s">
        <v>75</v>
      </c>
      <c r="M99" s="1017" t="s">
        <v>1683</v>
      </c>
      <c r="N99" s="1018"/>
      <c r="O99" s="1018"/>
      <c r="P99" s="1018"/>
      <c r="Q99" s="1018"/>
      <c r="R99" s="1017"/>
      <c r="S99" s="683"/>
      <c r="T99" s="684"/>
      <c r="U99" s="684"/>
      <c r="V99" s="683"/>
      <c r="W99" s="684"/>
      <c r="X99" s="684"/>
      <c r="Y99" s="683"/>
      <c r="Z99" s="684"/>
      <c r="AA99" s="684"/>
      <c r="AB99" s="654"/>
      <c r="AC99" s="685"/>
      <c r="AD99" s="686"/>
      <c r="AE99" s="631"/>
      <c r="AF99" s="631"/>
      <c r="AG99" s="683"/>
      <c r="AH99" s="684"/>
      <c r="AI99" s="684"/>
      <c r="AJ99" s="684"/>
      <c r="AK99" s="687"/>
      <c r="AL99" s="684"/>
      <c r="AM99" s="688"/>
      <c r="AN99" s="689"/>
      <c r="AO99" s="688"/>
      <c r="AP99" s="684"/>
      <c r="AQ99" s="640"/>
      <c r="AR99" s="640"/>
      <c r="AS99" s="642"/>
      <c r="AT99" s="642"/>
      <c r="AU99" s="642"/>
      <c r="AV99" s="642"/>
      <c r="AW99" s="643"/>
      <c r="AX99" s="690"/>
      <c r="AY99" s="691"/>
      <c r="AZ99" s="661"/>
      <c r="BA99" s="661"/>
      <c r="BB99" s="661"/>
      <c r="BC99" s="661"/>
      <c r="BD99" s="662" t="s">
        <v>1675</v>
      </c>
      <c r="BE99" s="645" t="e">
        <f t="shared" ref="BE99:BE101" si="133">M99/Gasertrag_berechnet</f>
        <v>#VALUE!</v>
      </c>
      <c r="BF99" s="645" t="e">
        <f t="shared" ref="BF99:BF101" si="134">AZ99/Belastung_Substrat</f>
        <v>#DIV/0!</v>
      </c>
      <c r="BG99" s="663"/>
      <c r="BH99" s="584"/>
      <c r="BI99" s="584"/>
      <c r="BJ99" s="584"/>
      <c r="BK99" s="584"/>
      <c r="BL99" s="584"/>
      <c r="BM99" s="584"/>
      <c r="BN99" s="584"/>
      <c r="BO99" s="584"/>
      <c r="BP99" s="584"/>
      <c r="BQ99" s="584"/>
      <c r="BR99" s="584"/>
      <c r="BS99" s="584"/>
      <c r="BT99" s="584"/>
      <c r="BU99" s="584"/>
    </row>
    <row r="100" spans="1:73" s="878" customFormat="1">
      <c r="A100" s="201" t="s">
        <v>1088</v>
      </c>
      <c r="B100" s="673" t="s">
        <v>2469</v>
      </c>
      <c r="C100" s="201" t="s">
        <v>2467</v>
      </c>
      <c r="D100" s="625"/>
      <c r="E100" s="819" t="str">
        <f t="shared" si="81"/>
        <v>Glycerine from animal fats</v>
      </c>
      <c r="F100" s="795">
        <v>0</v>
      </c>
      <c r="G100" s="900"/>
      <c r="H100" s="906">
        <v>0</v>
      </c>
      <c r="I100" s="906">
        <v>0</v>
      </c>
      <c r="K100" s="898"/>
      <c r="L100" s="885">
        <f t="shared" ref="L100:L101" si="135">F100*S100*V100/10</f>
        <v>0</v>
      </c>
      <c r="M100" s="899">
        <f t="shared" ref="M100:M101" si="136">F100*S100*V100/10000*AG100</f>
        <v>0</v>
      </c>
      <c r="N100" s="899"/>
      <c r="O100" s="899"/>
      <c r="P100" s="899"/>
      <c r="Q100" s="899"/>
      <c r="R100" s="897" t="str">
        <f>IF(F100&gt;0,IF(G100/F100/1000&lt;AX100,INDEX(menuesBG!$1:$1048576,Warnung,sprache),""),"")</f>
        <v/>
      </c>
      <c r="S100" s="629">
        <f t="shared" ref="S100:S101" si="137">(T100+U100)/2</f>
        <v>62.5</v>
      </c>
      <c r="T100" s="628">
        <v>62.5</v>
      </c>
      <c r="U100" s="628">
        <v>62.5</v>
      </c>
      <c r="V100" s="629">
        <f t="shared" ref="V100:V101" si="138">(W100+X100)/2</f>
        <v>100</v>
      </c>
      <c r="W100" s="628">
        <v>100</v>
      </c>
      <c r="X100" s="628">
        <v>100</v>
      </c>
      <c r="Y100" s="627">
        <f t="shared" ref="Y100:Y101" si="139">(Z100+AA100)/2</f>
        <v>0</v>
      </c>
      <c r="Z100" s="627">
        <v>0</v>
      </c>
      <c r="AA100" s="627">
        <v>0</v>
      </c>
      <c r="AB100" s="654">
        <v>13</v>
      </c>
      <c r="AC100" s="631">
        <f t="shared" ref="AC100:AC101" si="140">AD100*Y100</f>
        <v>0</v>
      </c>
      <c r="AD100" s="657">
        <v>0.7</v>
      </c>
      <c r="AE100" s="633">
        <v>85</v>
      </c>
      <c r="AF100" s="633">
        <v>85</v>
      </c>
      <c r="AG100" s="629">
        <f t="shared" ref="AG100:AG101" si="141">(AH100+AI100)/2</f>
        <v>1160</v>
      </c>
      <c r="AH100" s="693">
        <f>1/S100/V100*10000*550</f>
        <v>880</v>
      </c>
      <c r="AI100" s="677">
        <f>1/S100/V100*10000*900</f>
        <v>1440</v>
      </c>
      <c r="AJ100" s="627">
        <v>51</v>
      </c>
      <c r="AK100" s="630">
        <f t="shared" ref="AK100:AK101" si="142">AJ100*$AG100/100</f>
        <v>591.6</v>
      </c>
      <c r="AL100" s="634">
        <f t="shared" ref="AL100:AL101" si="143">L100*50%*28.62%*12.5%</f>
        <v>0</v>
      </c>
      <c r="AM100" s="659">
        <v>0</v>
      </c>
      <c r="AN100" s="659">
        <v>0</v>
      </c>
      <c r="AO100" s="659">
        <v>0</v>
      </c>
      <c r="AP100" s="638" t="e">
        <f>$M100*CH4_Gehalt*CH4_nichtabgedeckt*(1+Faktor_CH4_flüssig)*GärrestFlüssigMenge/(GärrestFestMenge+GärrestFlüssigMenge)</f>
        <v>#N/A</v>
      </c>
      <c r="AQ100" s="639" t="e">
        <f>F100*1000*S100/100*Y100/100*AB100/100*NH3emittiert*AnteilNH3Lagerung*(1+NH3plus)*((1+Faktor_NH3_Behandlung)*Anteil_V_fest+(1+FaktorNH3GülleBehandlung)*Anteil_V_flüssig)</f>
        <v>#N/A</v>
      </c>
      <c r="AR100" s="640" t="e">
        <f>IF(AR$137,F100*1000*S100/100*Y100/100*AB100/100*NH3emittiert*AR$2*(1+NH3plusAusbringung)*((1+Faktor_NH3fest_aus)*Anteil_V_fest+(1+Faktor_NH3_Ausbringung)*Anteil_V_flüssig),0)</f>
        <v>#N/A</v>
      </c>
      <c r="AS100" s="641" t="e">
        <f>F100*(N2O_Gülle*Anteil_V_flüssig*(1+Faktor_N2O_GülleBehandlung)+N2O_Kompost*Anteil_V_fest*(1+Faktor_N2O_Behandlung))</f>
        <v>#DIV/0!</v>
      </c>
      <c r="AT100" s="642" t="e">
        <f>FaktorenBG!F$43*(1+FaktorenBG!F$56)*IF(Auswahl_Behandlung_fest&lt;5,$F100,0)</f>
        <v>#N/A</v>
      </c>
      <c r="AU100" s="642" t="e">
        <f>FaktorenBG!G$43*(1+FaktorenBG!G$56)*IF(Auswahl_Behandlung_fest&lt;5,$F100,0)</f>
        <v>#N/A</v>
      </c>
      <c r="AV100" s="642" t="e">
        <f>FaktorenBG!H$43*(1+FaktorenBG!H$56)*IF(Auswahl_Behandlung_fest&lt;5,$F100,0)</f>
        <v>#N/A</v>
      </c>
      <c r="AW100" s="643"/>
      <c r="AX100" s="643"/>
      <c r="AY100" s="672" t="s">
        <v>1097</v>
      </c>
      <c r="AZ100" s="692">
        <f>INDEX(SimaPro!$1:$1048576,AZ$1,MATCH(Substrates!$AY100,SimaPro!$1:$1,0))*$F100*1000</f>
        <v>0</v>
      </c>
      <c r="BA100" s="692">
        <f>INDEX(SimaPro!$1:$1048576,BA$1,MATCH(Substrates!$AY100,SimaPro!$1:$1,0))*$F100*1000</f>
        <v>0</v>
      </c>
      <c r="BB100" s="692">
        <f>INDEX(SimaPro!$1:$1048576,BB$1,MATCH(Substrates!$AY100,SimaPro!$1:$1,0))*$F100*1000</f>
        <v>0</v>
      </c>
      <c r="BC100" s="692">
        <f>INDEX(SimaPro!$1:$1048576,BC$1,MATCH(Substrates!$AY100,SimaPro!$1:$1,0))*$F100*1000</f>
        <v>0</v>
      </c>
      <c r="BD100" s="662" t="s">
        <v>1675</v>
      </c>
      <c r="BE100" s="645" t="e">
        <f t="shared" si="133"/>
        <v>#DIV/0!</v>
      </c>
      <c r="BF100" s="645" t="e">
        <f t="shared" si="134"/>
        <v>#DIV/0!</v>
      </c>
      <c r="BG100" s="663"/>
      <c r="BH100" s="584"/>
      <c r="BI100" s="584"/>
      <c r="BJ100" s="584"/>
      <c r="BK100" s="584"/>
      <c r="BL100" s="584"/>
      <c r="BM100" s="584"/>
      <c r="BN100" s="584"/>
      <c r="BO100" s="584"/>
      <c r="BP100" s="584"/>
      <c r="BQ100" s="584"/>
      <c r="BR100" s="584"/>
      <c r="BS100" s="584"/>
      <c r="BT100" s="584"/>
      <c r="BU100" s="584"/>
    </row>
    <row r="101" spans="1:73" s="878" customFormat="1">
      <c r="A101" s="201" t="s">
        <v>1087</v>
      </c>
      <c r="B101" s="673" t="s">
        <v>1105</v>
      </c>
      <c r="C101" s="201" t="s">
        <v>1628</v>
      </c>
      <c r="D101" s="625"/>
      <c r="E101" s="819" t="str">
        <f t="shared" si="81"/>
        <v>Glycerine from waste vegetable oil</v>
      </c>
      <c r="F101" s="795">
        <v>0</v>
      </c>
      <c r="G101" s="900"/>
      <c r="H101" s="906">
        <v>0</v>
      </c>
      <c r="I101" s="906">
        <v>0</v>
      </c>
      <c r="K101" s="898"/>
      <c r="L101" s="885">
        <f t="shared" si="135"/>
        <v>0</v>
      </c>
      <c r="M101" s="899">
        <f t="shared" si="136"/>
        <v>0</v>
      </c>
      <c r="N101" s="899"/>
      <c r="O101" s="899"/>
      <c r="P101" s="899"/>
      <c r="Q101" s="899"/>
      <c r="R101" s="897" t="str">
        <f>IF(F101&gt;0,IF(G101/F101/1000&lt;AX101,INDEX(menuesBG!$1:$1048576,Warnung,sprache),""),"")</f>
        <v/>
      </c>
      <c r="S101" s="629">
        <f t="shared" si="137"/>
        <v>62.5</v>
      </c>
      <c r="T101" s="628">
        <v>62.5</v>
      </c>
      <c r="U101" s="628">
        <v>62.5</v>
      </c>
      <c r="V101" s="629">
        <f t="shared" si="138"/>
        <v>100</v>
      </c>
      <c r="W101" s="628">
        <v>100</v>
      </c>
      <c r="X101" s="628">
        <v>100</v>
      </c>
      <c r="Y101" s="627">
        <f t="shared" si="139"/>
        <v>0</v>
      </c>
      <c r="Z101" s="627">
        <v>0</v>
      </c>
      <c r="AA101" s="627">
        <v>0</v>
      </c>
      <c r="AB101" s="654">
        <v>13</v>
      </c>
      <c r="AC101" s="631">
        <f t="shared" si="140"/>
        <v>0</v>
      </c>
      <c r="AD101" s="657">
        <v>0.7</v>
      </c>
      <c r="AE101" s="633">
        <v>85</v>
      </c>
      <c r="AF101" s="633">
        <v>85</v>
      </c>
      <c r="AG101" s="629">
        <f t="shared" si="141"/>
        <v>1344</v>
      </c>
      <c r="AH101" s="693">
        <f>1/S101/V101*10000*700</f>
        <v>1120</v>
      </c>
      <c r="AI101" s="677">
        <f>1/S101/V101*10000*980</f>
        <v>1568</v>
      </c>
      <c r="AJ101" s="627">
        <v>51</v>
      </c>
      <c r="AK101" s="630">
        <f t="shared" si="142"/>
        <v>685.44</v>
      </c>
      <c r="AL101" s="634">
        <f t="shared" si="143"/>
        <v>0</v>
      </c>
      <c r="AM101" s="659">
        <v>0</v>
      </c>
      <c r="AN101" s="659">
        <v>0</v>
      </c>
      <c r="AO101" s="659">
        <v>0</v>
      </c>
      <c r="AP101" s="638" t="e">
        <f>$M101*CH4_Gehalt*CH4_nichtabgedeckt*(1+Faktor_CH4_flüssig)*GärrestFlüssigMenge/(GärrestFestMenge+GärrestFlüssigMenge)</f>
        <v>#N/A</v>
      </c>
      <c r="AQ101" s="639" t="e">
        <f>F101*1000*S101/100*Y101/100*AB101/100*NH3emittiert*AnteilNH3Lagerung*(1+NH3plus)*((1+Faktor_NH3_Behandlung)*Anteil_V_fest+(1+FaktorNH3GülleBehandlung)*Anteil_V_flüssig)</f>
        <v>#N/A</v>
      </c>
      <c r="AR101" s="640" t="e">
        <f>IF(AR$137,F101*1000*S101/100*Y101/100*AB101/100*NH3emittiert*AR$2*(1+NH3plusAusbringung)*((1+Faktor_NH3fest_aus)*Anteil_V_fest+(1+Faktor_NH3_Ausbringung)*Anteil_V_flüssig),0)</f>
        <v>#N/A</v>
      </c>
      <c r="AS101" s="641" t="e">
        <f>F101*(N2O_Gülle*Anteil_V_flüssig*(1+Faktor_N2O_GülleBehandlung)+N2O_Kompost*Anteil_V_fest*(1+Faktor_N2O_Behandlung))</f>
        <v>#DIV/0!</v>
      </c>
      <c r="AT101" s="642" t="e">
        <f>FaktorenBG!F$43*(1+FaktorenBG!F$56)*IF(Auswahl_Behandlung_fest&lt;5,$F101,0)</f>
        <v>#N/A</v>
      </c>
      <c r="AU101" s="642" t="e">
        <f>FaktorenBG!G$43*(1+FaktorenBG!G$56)*IF(Auswahl_Behandlung_fest&lt;5,$F101,0)</f>
        <v>#N/A</v>
      </c>
      <c r="AV101" s="642" t="e">
        <f>FaktorenBG!H$43*(1+FaktorenBG!H$56)*IF(Auswahl_Behandlung_fest&lt;5,$F101,0)</f>
        <v>#N/A</v>
      </c>
      <c r="AW101" s="643"/>
      <c r="AX101" s="643"/>
      <c r="AY101" s="672" t="s">
        <v>1098</v>
      </c>
      <c r="AZ101" s="692">
        <f>INDEX(SimaPro!$1:$1048576,AZ$1,MATCH(Substrates!$AY101,SimaPro!$1:$1,0))*$F101*1000</f>
        <v>0</v>
      </c>
      <c r="BA101" s="692">
        <f>INDEX(SimaPro!$1:$1048576,BA$1,MATCH(Substrates!$AY101,SimaPro!$1:$1,0))*$F101*1000</f>
        <v>0</v>
      </c>
      <c r="BB101" s="692">
        <f>INDEX(SimaPro!$1:$1048576,BB$1,MATCH(Substrates!$AY101,SimaPro!$1:$1,0))*$F101*1000</f>
        <v>0</v>
      </c>
      <c r="BC101" s="692">
        <f>INDEX(SimaPro!$1:$1048576,BC$1,MATCH(Substrates!$AY101,SimaPro!$1:$1,0))*$F101*1000</f>
        <v>0</v>
      </c>
      <c r="BD101" s="662" t="s">
        <v>1675</v>
      </c>
      <c r="BE101" s="645" t="e">
        <f t="shared" si="133"/>
        <v>#DIV/0!</v>
      </c>
      <c r="BF101" s="645" t="e">
        <f t="shared" si="134"/>
        <v>#DIV/0!</v>
      </c>
      <c r="BG101" s="663"/>
      <c r="BH101" s="584"/>
      <c r="BI101" s="584"/>
      <c r="BJ101" s="584"/>
      <c r="BK101" s="584"/>
      <c r="BL101" s="584"/>
      <c r="BM101" s="584"/>
      <c r="BN101" s="584"/>
      <c r="BO101" s="584"/>
      <c r="BP101" s="584"/>
      <c r="BQ101" s="584"/>
      <c r="BR101" s="584"/>
      <c r="BS101" s="584"/>
      <c r="BT101" s="584"/>
      <c r="BU101" s="584"/>
    </row>
    <row r="102" spans="1:73" s="878" customFormat="1">
      <c r="A102" s="933" t="s">
        <v>1089</v>
      </c>
      <c r="B102" s="673" t="s">
        <v>1106</v>
      </c>
      <c r="C102" s="201" t="s">
        <v>1629</v>
      </c>
      <c r="D102" s="625"/>
      <c r="E102" s="819" t="str">
        <f t="shared" si="81"/>
        <v>Glycerine from rapeseed oil</v>
      </c>
      <c r="F102" s="795">
        <v>0</v>
      </c>
      <c r="G102" s="900"/>
      <c r="H102" s="906">
        <v>0</v>
      </c>
      <c r="I102" s="906">
        <v>0</v>
      </c>
      <c r="K102" s="898"/>
      <c r="L102" s="885">
        <f>F102*S102*V102/10</f>
        <v>0</v>
      </c>
      <c r="M102" s="899">
        <f>F102*S102*V102/10000*AG102</f>
        <v>0</v>
      </c>
      <c r="N102" s="899"/>
      <c r="O102" s="899"/>
      <c r="P102" s="899"/>
      <c r="Q102" s="899"/>
      <c r="R102" s="897" t="str">
        <f>IF(F102&gt;0,IF(G102/F102/1000&lt;AX102,INDEX(menuesBG!$1:$1048576,Warnung,sprache),""),"")</f>
        <v/>
      </c>
      <c r="S102" s="629">
        <f>(T102+U102)/2</f>
        <v>62.5</v>
      </c>
      <c r="T102" s="628">
        <v>62.5</v>
      </c>
      <c r="U102" s="628">
        <v>62.5</v>
      </c>
      <c r="V102" s="629">
        <f>(W102+X102)/2</f>
        <v>100</v>
      </c>
      <c r="W102" s="628">
        <v>100</v>
      </c>
      <c r="X102" s="628">
        <v>100</v>
      </c>
      <c r="Y102" s="627">
        <f>(Z102+AA102)/2</f>
        <v>0</v>
      </c>
      <c r="Z102" s="627">
        <v>0</v>
      </c>
      <c r="AA102" s="627">
        <v>0</v>
      </c>
      <c r="AB102" s="654">
        <v>13</v>
      </c>
      <c r="AC102" s="631">
        <f>AD102*Y102</f>
        <v>0</v>
      </c>
      <c r="AD102" s="657">
        <v>0.7</v>
      </c>
      <c r="AE102" s="633">
        <v>85</v>
      </c>
      <c r="AF102" s="633">
        <v>85</v>
      </c>
      <c r="AG102" s="629">
        <f>(AH102+AI102)/2</f>
        <v>1252</v>
      </c>
      <c r="AH102" s="693">
        <f>AVERAGE(AH$100:AH$101)</f>
        <v>1000</v>
      </c>
      <c r="AI102" s="693">
        <f>AVERAGE(AI$100:AI$101)</f>
        <v>1504</v>
      </c>
      <c r="AJ102" s="627">
        <v>51</v>
      </c>
      <c r="AK102" s="630">
        <f>AJ102*$AG102/100</f>
        <v>638.52</v>
      </c>
      <c r="AL102" s="634">
        <f>L102*50%*28.62%*12.5%</f>
        <v>0</v>
      </c>
      <c r="AM102" s="659">
        <v>0</v>
      </c>
      <c r="AN102" s="659">
        <v>0</v>
      </c>
      <c r="AO102" s="659">
        <v>0</v>
      </c>
      <c r="AP102" s="638" t="e">
        <f>$M102*CH4_Gehalt*CH4_nichtabgedeckt*(1+Faktor_CH4_flüssig)*GärrestFlüssigMenge/(GärrestFestMenge+GärrestFlüssigMenge)</f>
        <v>#N/A</v>
      </c>
      <c r="AQ102" s="639" t="e">
        <f>F102*1000*S102/100*Y102/100*AB102/100*NH3emittiert*AnteilNH3Lagerung*(1+NH3plus)*((1+Faktor_NH3_Behandlung)*Anteil_V_fest+(1+FaktorNH3GülleBehandlung)*Anteil_V_flüssig)</f>
        <v>#N/A</v>
      </c>
      <c r="AR102" s="640" t="e">
        <f>IF(AR$137,F102*1000*S102/100*Y102/100*AB102/100*NH3emittiert*AR$2*(1+NH3plusAusbringung)*((1+Faktor_NH3fest_aus)*Anteil_V_fest+(1+Faktor_NH3_Ausbringung)*Anteil_V_flüssig),0)</f>
        <v>#N/A</v>
      </c>
      <c r="AS102" s="641" t="e">
        <f>F102*(N2O_Gülle*Anteil_V_flüssig*(1+Faktor_N2O_GülleBehandlung)+N2O_Kompost*Anteil_V_fest*(1+Faktor_N2O_Behandlung))</f>
        <v>#DIV/0!</v>
      </c>
      <c r="AT102" s="642" t="e">
        <f>FaktorenBG!F$43*(1+FaktorenBG!F$56)*IF(Auswahl_Behandlung_fest&lt;5,$F102,0)</f>
        <v>#N/A</v>
      </c>
      <c r="AU102" s="642" t="e">
        <f>FaktorenBG!G$43*(1+FaktorenBG!G$56)*IF(Auswahl_Behandlung_fest&lt;5,$F102,0)</f>
        <v>#N/A</v>
      </c>
      <c r="AV102" s="642" t="e">
        <f>FaktorenBG!H$43*(1+FaktorenBG!H$56)*IF(Auswahl_Behandlung_fest&lt;5,$F102,0)</f>
        <v>#N/A</v>
      </c>
      <c r="AW102" s="643"/>
      <c r="AX102" s="643"/>
      <c r="AY102" s="672" t="s">
        <v>1099</v>
      </c>
      <c r="AZ102" s="692">
        <f>INDEX(SimaPro!$1:$1048576,AZ$1,MATCH(Substrates!$AY102,SimaPro!$1:$1,0))*$F102*1000</f>
        <v>0</v>
      </c>
      <c r="BA102" s="692">
        <f>INDEX(SimaPro!$1:$1048576,BA$1,MATCH(Substrates!$AY102,SimaPro!$1:$1,0))*$F102*1000</f>
        <v>0</v>
      </c>
      <c r="BB102" s="692">
        <f>INDEX(SimaPro!$1:$1048576,BB$1,MATCH(Substrates!$AY102,SimaPro!$1:$1,0))*$F102*1000</f>
        <v>0</v>
      </c>
      <c r="BC102" s="692">
        <f>INDEX(SimaPro!$1:$1048576,BC$1,MATCH(Substrates!$AY102,SimaPro!$1:$1,0))*$F102*1000</f>
        <v>0</v>
      </c>
      <c r="BD102" s="662" t="s">
        <v>1675</v>
      </c>
      <c r="BE102" s="645" t="e">
        <f>M102/Gasertrag_berechnet</f>
        <v>#DIV/0!</v>
      </c>
      <c r="BF102" s="645" t="e">
        <f>AZ102/Belastung_Substrat</f>
        <v>#DIV/0!</v>
      </c>
      <c r="BG102" s="663"/>
      <c r="BH102" s="584"/>
      <c r="BI102" s="584"/>
      <c r="BJ102" s="584"/>
      <c r="BK102" s="584"/>
      <c r="BL102" s="584"/>
      <c r="BM102" s="584"/>
      <c r="BN102" s="584"/>
      <c r="BO102" s="584"/>
      <c r="BP102" s="584"/>
      <c r="BQ102" s="584"/>
      <c r="BR102" s="584"/>
      <c r="BS102" s="584"/>
      <c r="BT102" s="584"/>
      <c r="BU102" s="584"/>
    </row>
    <row r="103" spans="1:73" s="878" customFormat="1">
      <c r="A103" s="933" t="s">
        <v>1090</v>
      </c>
      <c r="B103" s="673" t="s">
        <v>1107</v>
      </c>
      <c r="C103" s="201" t="s">
        <v>1630</v>
      </c>
      <c r="D103" s="625"/>
      <c r="E103" s="819" t="str">
        <f t="shared" si="81"/>
        <v>Glycerine from soybean oil</v>
      </c>
      <c r="F103" s="795">
        <v>0</v>
      </c>
      <c r="G103" s="900"/>
      <c r="H103" s="906">
        <v>0</v>
      </c>
      <c r="I103" s="906">
        <v>0</v>
      </c>
      <c r="K103" s="898"/>
      <c r="L103" s="885">
        <f t="shared" ref="L103:L104" si="144">F103*S103*V103/10</f>
        <v>0</v>
      </c>
      <c r="M103" s="899">
        <f t="shared" ref="M103:M104" si="145">F103*S103*V103/10000*AG103</f>
        <v>0</v>
      </c>
      <c r="N103" s="899"/>
      <c r="O103" s="899"/>
      <c r="P103" s="899"/>
      <c r="Q103" s="899"/>
      <c r="R103" s="897" t="str">
        <f>IF(F103&gt;0,IF(G103/F103/1000&lt;AX103,INDEX(menuesBG!$1:$1048576,Warnung,sprache),""),"")</f>
        <v/>
      </c>
      <c r="S103" s="629">
        <f t="shared" ref="S103:S104" si="146">(T103+U103)/2</f>
        <v>62.5</v>
      </c>
      <c r="T103" s="628">
        <v>62.5</v>
      </c>
      <c r="U103" s="628">
        <v>62.5</v>
      </c>
      <c r="V103" s="629">
        <f t="shared" ref="V103:V104" si="147">(W103+X103)/2</f>
        <v>100</v>
      </c>
      <c r="W103" s="628">
        <v>100</v>
      </c>
      <c r="X103" s="628">
        <v>100</v>
      </c>
      <c r="Y103" s="627">
        <f t="shared" ref="Y103:Y104" si="148">(Z103+AA103)/2</f>
        <v>0</v>
      </c>
      <c r="Z103" s="627">
        <v>0</v>
      </c>
      <c r="AA103" s="627">
        <v>0</v>
      </c>
      <c r="AB103" s="654">
        <v>13</v>
      </c>
      <c r="AC103" s="631">
        <f t="shared" ref="AC103:AC104" si="149">AD103*Y103</f>
        <v>0</v>
      </c>
      <c r="AD103" s="657">
        <v>0.7</v>
      </c>
      <c r="AE103" s="633">
        <v>85</v>
      </c>
      <c r="AF103" s="633">
        <v>85</v>
      </c>
      <c r="AG103" s="629">
        <f t="shared" ref="AG103:AG104" si="150">(AH103+AI103)/2</f>
        <v>1252</v>
      </c>
      <c r="AH103" s="693">
        <f t="shared" ref="AH103:AI104" si="151">AVERAGE(AH$100:AH$101)</f>
        <v>1000</v>
      </c>
      <c r="AI103" s="693">
        <f t="shared" si="151"/>
        <v>1504</v>
      </c>
      <c r="AJ103" s="627">
        <v>51</v>
      </c>
      <c r="AK103" s="630">
        <f t="shared" ref="AK103:AK104" si="152">AJ103*$AG103/100</f>
        <v>638.52</v>
      </c>
      <c r="AL103" s="634">
        <f t="shared" ref="AL103:AL104" si="153">L103*50%*28.62%*12.5%</f>
        <v>0</v>
      </c>
      <c r="AM103" s="659">
        <v>0</v>
      </c>
      <c r="AN103" s="659">
        <v>0</v>
      </c>
      <c r="AO103" s="659">
        <v>0</v>
      </c>
      <c r="AP103" s="638" t="e">
        <f>$M103*CH4_Gehalt*CH4_nichtabgedeckt*(1+Faktor_CH4_flüssig)*GärrestFlüssigMenge/(GärrestFestMenge+GärrestFlüssigMenge)</f>
        <v>#N/A</v>
      </c>
      <c r="AQ103" s="639" t="e">
        <f>F103*1000*S103/100*Y103/100*AB103/100*NH3emittiert*AnteilNH3Lagerung*(1+NH3plus)*((1+Faktor_NH3_Behandlung)*Anteil_V_fest+(1+FaktorNH3GülleBehandlung)*Anteil_V_flüssig)</f>
        <v>#N/A</v>
      </c>
      <c r="AR103" s="640" t="e">
        <f>IF(AR$137,F103*1000*S103/100*Y103/100*AB103/100*NH3emittiert*AR$2*(1+NH3plusAusbringung)*((1+Faktor_NH3fest_aus)*Anteil_V_fest+(1+Faktor_NH3_Ausbringung)*Anteil_V_flüssig),0)</f>
        <v>#N/A</v>
      </c>
      <c r="AS103" s="641" t="e">
        <f>F103*(N2O_Gülle*Anteil_V_flüssig*(1+Faktor_N2O_GülleBehandlung)+N2O_Kompost*Anteil_V_fest*(1+Faktor_N2O_Behandlung))</f>
        <v>#DIV/0!</v>
      </c>
      <c r="AT103" s="642" t="e">
        <f>FaktorenBG!F$43*(1+FaktorenBG!F$56)*IF(Auswahl_Behandlung_fest&lt;5,$F103,0)</f>
        <v>#N/A</v>
      </c>
      <c r="AU103" s="642" t="e">
        <f>FaktorenBG!G$43*(1+FaktorenBG!G$56)*IF(Auswahl_Behandlung_fest&lt;5,$F103,0)</f>
        <v>#N/A</v>
      </c>
      <c r="AV103" s="642" t="e">
        <f>FaktorenBG!H$43*(1+FaktorenBG!H$56)*IF(Auswahl_Behandlung_fest&lt;5,$F103,0)</f>
        <v>#N/A</v>
      </c>
      <c r="AW103" s="643"/>
      <c r="AX103" s="643"/>
      <c r="AY103" s="672" t="s">
        <v>1100</v>
      </c>
      <c r="AZ103" s="692">
        <f>INDEX(SimaPro!$1:$1048576,AZ$1,MATCH(Substrates!$AY103,SimaPro!$1:$1,0))*$F103*1000</f>
        <v>0</v>
      </c>
      <c r="BA103" s="692">
        <f>INDEX(SimaPro!$1:$1048576,BA$1,MATCH(Substrates!$AY103,SimaPro!$1:$1,0))*$F103*1000</f>
        <v>0</v>
      </c>
      <c r="BB103" s="692">
        <f>INDEX(SimaPro!$1:$1048576,BB$1,MATCH(Substrates!$AY103,SimaPro!$1:$1,0))*$F103*1000</f>
        <v>0</v>
      </c>
      <c r="BC103" s="692">
        <f>INDEX(SimaPro!$1:$1048576,BC$1,MATCH(Substrates!$AY103,SimaPro!$1:$1,0))*$F103*1000</f>
        <v>0</v>
      </c>
      <c r="BD103" s="662" t="s">
        <v>1675</v>
      </c>
      <c r="BE103" s="645" t="e">
        <f>M103/Gasertrag_berechnet</f>
        <v>#DIV/0!</v>
      </c>
      <c r="BF103" s="645" t="e">
        <f>AZ103/Belastung_Substrat</f>
        <v>#DIV/0!</v>
      </c>
      <c r="BG103" s="663"/>
      <c r="BH103" s="584"/>
      <c r="BI103" s="584"/>
      <c r="BJ103" s="584"/>
      <c r="BK103" s="584"/>
      <c r="BL103" s="584"/>
      <c r="BM103" s="584"/>
      <c r="BN103" s="584"/>
      <c r="BO103" s="584"/>
      <c r="BP103" s="584"/>
      <c r="BQ103" s="584"/>
      <c r="BR103" s="584"/>
      <c r="BS103" s="584"/>
      <c r="BT103" s="584"/>
      <c r="BU103" s="584"/>
    </row>
    <row r="104" spans="1:73" s="878" customFormat="1">
      <c r="A104" s="933" t="s">
        <v>1091</v>
      </c>
      <c r="B104" s="673" t="s">
        <v>1108</v>
      </c>
      <c r="C104" s="201" t="s">
        <v>1631</v>
      </c>
      <c r="D104" s="625"/>
      <c r="E104" s="819" t="str">
        <f t="shared" si="81"/>
        <v>Glycerine from palm oil</v>
      </c>
      <c r="F104" s="795">
        <v>0</v>
      </c>
      <c r="G104" s="900"/>
      <c r="H104" s="906">
        <v>0</v>
      </c>
      <c r="I104" s="906">
        <v>0</v>
      </c>
      <c r="K104" s="898"/>
      <c r="L104" s="885">
        <f t="shared" si="144"/>
        <v>0</v>
      </c>
      <c r="M104" s="899">
        <f t="shared" si="145"/>
        <v>0</v>
      </c>
      <c r="N104" s="899"/>
      <c r="O104" s="899"/>
      <c r="P104" s="899"/>
      <c r="Q104" s="899"/>
      <c r="R104" s="897" t="str">
        <f>IF(F104&gt;0,IF(G104/F104/1000&lt;AX104,INDEX(menuesBG!$1:$1048576,Warnung,sprache),""),"")</f>
        <v/>
      </c>
      <c r="S104" s="629">
        <f t="shared" si="146"/>
        <v>62.5</v>
      </c>
      <c r="T104" s="628">
        <v>62.5</v>
      </c>
      <c r="U104" s="628">
        <v>62.5</v>
      </c>
      <c r="V104" s="629">
        <f t="shared" si="147"/>
        <v>100</v>
      </c>
      <c r="W104" s="628">
        <v>100</v>
      </c>
      <c r="X104" s="628">
        <v>100</v>
      </c>
      <c r="Y104" s="627">
        <f t="shared" si="148"/>
        <v>0</v>
      </c>
      <c r="Z104" s="627">
        <v>0</v>
      </c>
      <c r="AA104" s="627">
        <v>0</v>
      </c>
      <c r="AB104" s="654">
        <v>13</v>
      </c>
      <c r="AC104" s="631">
        <f t="shared" si="149"/>
        <v>0</v>
      </c>
      <c r="AD104" s="657">
        <v>0.7</v>
      </c>
      <c r="AE104" s="633">
        <v>85</v>
      </c>
      <c r="AF104" s="633">
        <v>85</v>
      </c>
      <c r="AG104" s="629">
        <f t="shared" si="150"/>
        <v>1252</v>
      </c>
      <c r="AH104" s="693">
        <f t="shared" si="151"/>
        <v>1000</v>
      </c>
      <c r="AI104" s="693">
        <f t="shared" si="151"/>
        <v>1504</v>
      </c>
      <c r="AJ104" s="627">
        <v>51</v>
      </c>
      <c r="AK104" s="630">
        <f t="shared" si="152"/>
        <v>638.52</v>
      </c>
      <c r="AL104" s="634">
        <f t="shared" si="153"/>
        <v>0</v>
      </c>
      <c r="AM104" s="659">
        <v>0</v>
      </c>
      <c r="AN104" s="659">
        <v>0</v>
      </c>
      <c r="AO104" s="659">
        <v>0</v>
      </c>
      <c r="AP104" s="638" t="e">
        <f>$M104*CH4_Gehalt*CH4_nichtabgedeckt*(1+Faktor_CH4_flüssig)*GärrestFlüssigMenge/(GärrestFestMenge+GärrestFlüssigMenge)</f>
        <v>#N/A</v>
      </c>
      <c r="AQ104" s="639" t="e">
        <f>F104*1000*S104/100*Y104/100*AB104/100*NH3emittiert*AnteilNH3Lagerung*(1+NH3plus)*((1+Faktor_NH3_Behandlung)*Anteil_V_fest+(1+FaktorNH3GülleBehandlung)*Anteil_V_flüssig)</f>
        <v>#N/A</v>
      </c>
      <c r="AR104" s="640" t="e">
        <f>IF(AR$137,F104*1000*S104/100*Y104/100*AB104/100*NH3emittiert*AR$2*(1+NH3plusAusbringung)*((1+Faktor_NH3fest_aus)*Anteil_V_fest+(1+Faktor_NH3_Ausbringung)*Anteil_V_flüssig),0)</f>
        <v>#N/A</v>
      </c>
      <c r="AS104" s="641" t="e">
        <f>F104*(N2O_Gülle*Anteil_V_flüssig*(1+Faktor_N2O_GülleBehandlung)+N2O_Kompost*Anteil_V_fest*(1+Faktor_N2O_Behandlung))</f>
        <v>#DIV/0!</v>
      </c>
      <c r="AT104" s="642" t="e">
        <f>FaktorenBG!F$43*(1+FaktorenBG!F$56)*IF(Auswahl_Behandlung_fest&lt;5,$F104,0)</f>
        <v>#N/A</v>
      </c>
      <c r="AU104" s="642" t="e">
        <f>FaktorenBG!G$43*(1+FaktorenBG!G$56)*IF(Auswahl_Behandlung_fest&lt;5,$F104,0)</f>
        <v>#N/A</v>
      </c>
      <c r="AV104" s="642" t="e">
        <f>FaktorenBG!H$43*(1+FaktorenBG!H$56)*IF(Auswahl_Behandlung_fest&lt;5,$F104,0)</f>
        <v>#N/A</v>
      </c>
      <c r="AW104" s="643"/>
      <c r="AX104" s="643"/>
      <c r="AY104" s="672" t="s">
        <v>1101</v>
      </c>
      <c r="AZ104" s="692">
        <f>INDEX(SimaPro!$1:$1048576,AZ$1,MATCH(Substrates!$AY104,SimaPro!$1:$1,0))*$F104*1000</f>
        <v>0</v>
      </c>
      <c r="BA104" s="692">
        <f>INDEX(SimaPro!$1:$1048576,BA$1,MATCH(Substrates!$AY104,SimaPro!$1:$1,0))*$F104*1000</f>
        <v>0</v>
      </c>
      <c r="BB104" s="692">
        <f>INDEX(SimaPro!$1:$1048576,BB$1,MATCH(Substrates!$AY104,SimaPro!$1:$1,0))*$F104*1000</f>
        <v>0</v>
      </c>
      <c r="BC104" s="692">
        <f>INDEX(SimaPro!$1:$1048576,BC$1,MATCH(Substrates!$AY104,SimaPro!$1:$1,0))*$F104*1000</f>
        <v>0</v>
      </c>
      <c r="BD104" s="662" t="s">
        <v>1675</v>
      </c>
      <c r="BE104" s="645" t="e">
        <f>M104/Gasertrag_berechnet</f>
        <v>#DIV/0!</v>
      </c>
      <c r="BF104" s="645" t="e">
        <f>AZ104/Belastung_Substrat</f>
        <v>#DIV/0!</v>
      </c>
      <c r="BG104" s="663"/>
      <c r="BH104" s="584"/>
      <c r="BI104" s="584"/>
      <c r="BJ104" s="584"/>
      <c r="BK104" s="584"/>
      <c r="BL104" s="584"/>
      <c r="BM104" s="584"/>
      <c r="BN104" s="584"/>
      <c r="BO104" s="584"/>
      <c r="BP104" s="584"/>
      <c r="BQ104" s="584"/>
      <c r="BR104" s="584"/>
      <c r="BS104" s="584"/>
      <c r="BT104" s="584"/>
      <c r="BU104" s="584"/>
    </row>
    <row r="105" spans="1:73" s="878" customFormat="1">
      <c r="A105" s="933"/>
      <c r="B105" s="673"/>
      <c r="C105" s="201"/>
      <c r="D105" s="625"/>
      <c r="E105" s="853"/>
      <c r="F105" s="853"/>
      <c r="G105" s="853"/>
      <c r="H105" s="853"/>
      <c r="I105" s="853"/>
      <c r="K105" s="853"/>
      <c r="L105" s="853"/>
      <c r="M105" s="853"/>
      <c r="N105" s="853"/>
      <c r="O105" s="853"/>
      <c r="P105" s="853"/>
      <c r="Q105" s="853"/>
      <c r="R105" s="853"/>
      <c r="S105" s="629"/>
      <c r="T105" s="628"/>
      <c r="U105" s="628"/>
      <c r="V105" s="629"/>
      <c r="W105" s="628"/>
      <c r="X105" s="628"/>
      <c r="Y105" s="627"/>
      <c r="Z105" s="627"/>
      <c r="AA105" s="627"/>
      <c r="AB105" s="654"/>
      <c r="AC105" s="631"/>
      <c r="AD105" s="657"/>
      <c r="AE105" s="633"/>
      <c r="AF105" s="633"/>
      <c r="AG105" s="629"/>
      <c r="AH105" s="693"/>
      <c r="AI105" s="693"/>
      <c r="AJ105" s="627"/>
      <c r="AK105" s="630"/>
      <c r="AL105" s="634"/>
      <c r="AM105" s="659"/>
      <c r="AN105" s="659"/>
      <c r="AO105" s="659"/>
      <c r="AP105" s="638"/>
      <c r="AQ105" s="639"/>
      <c r="AR105" s="640"/>
      <c r="AS105" s="641"/>
      <c r="AT105" s="642"/>
      <c r="AU105" s="642"/>
      <c r="AV105" s="642"/>
      <c r="AW105" s="643"/>
      <c r="AX105" s="643"/>
      <c r="AY105" s="672"/>
      <c r="AZ105" s="692"/>
      <c r="BA105" s="692"/>
      <c r="BB105" s="692"/>
      <c r="BC105" s="692"/>
      <c r="BD105" s="662"/>
      <c r="BE105" s="645"/>
      <c r="BF105" s="645"/>
      <c r="BG105" s="663"/>
      <c r="BH105" s="584"/>
      <c r="BI105" s="584"/>
      <c r="BJ105" s="584"/>
      <c r="BK105" s="584"/>
      <c r="BL105" s="584"/>
      <c r="BM105" s="584"/>
      <c r="BN105" s="584"/>
      <c r="BO105" s="584"/>
      <c r="BP105" s="584"/>
      <c r="BQ105" s="584"/>
      <c r="BR105" s="584"/>
      <c r="BS105" s="584"/>
      <c r="BT105" s="584"/>
      <c r="BU105" s="584"/>
    </row>
    <row r="106" spans="1:73" s="878" customFormat="1" ht="14.25">
      <c r="A106" s="940" t="s">
        <v>631</v>
      </c>
      <c r="B106" s="940" t="s">
        <v>763</v>
      </c>
      <c r="C106" s="939" t="s">
        <v>1580</v>
      </c>
      <c r="D106" s="653"/>
      <c r="E106" s="980" t="str">
        <f t="shared" si="81"/>
        <v>Energy crop silage</v>
      </c>
      <c r="F106" s="1017" t="s">
        <v>74</v>
      </c>
      <c r="G106" s="1017" t="e">
        <f>Währung&amp;"/a"</f>
        <v>#N/A</v>
      </c>
      <c r="H106" s="1017" t="s">
        <v>273</v>
      </c>
      <c r="I106" s="1017" t="s">
        <v>273</v>
      </c>
      <c r="J106" s="1017"/>
      <c r="K106" s="1017"/>
      <c r="L106" s="1017" t="s">
        <v>75</v>
      </c>
      <c r="M106" s="1017" t="s">
        <v>1683</v>
      </c>
      <c r="N106" s="1018"/>
      <c r="O106" s="1018"/>
      <c r="P106" s="1018"/>
      <c r="Q106" s="1018"/>
      <c r="R106" s="1017"/>
      <c r="S106" s="683"/>
      <c r="T106" s="684"/>
      <c r="U106" s="684"/>
      <c r="V106" s="683"/>
      <c r="W106" s="684"/>
      <c r="X106" s="684"/>
      <c r="Y106" s="683"/>
      <c r="Z106" s="684"/>
      <c r="AA106" s="684"/>
      <c r="AB106" s="654"/>
      <c r="AC106" s="685"/>
      <c r="AD106" s="686"/>
      <c r="AE106" s="631"/>
      <c r="AF106" s="631"/>
      <c r="AG106" s="683"/>
      <c r="AH106" s="684"/>
      <c r="AI106" s="684"/>
      <c r="AJ106" s="684"/>
      <c r="AK106" s="687"/>
      <c r="AL106" s="684"/>
      <c r="AM106" s="688"/>
      <c r="AN106" s="689"/>
      <c r="AO106" s="688"/>
      <c r="AP106" s="684"/>
      <c r="AQ106" s="640"/>
      <c r="AR106" s="640"/>
      <c r="AS106" s="642"/>
      <c r="AT106" s="642"/>
      <c r="AU106" s="642"/>
      <c r="AV106" s="642"/>
      <c r="AW106" s="643"/>
      <c r="AX106" s="690"/>
      <c r="AY106" s="691"/>
      <c r="AZ106" s="661"/>
      <c r="BA106" s="661"/>
      <c r="BB106" s="661"/>
      <c r="BC106" s="661"/>
      <c r="BD106" s="662" t="s">
        <v>1675</v>
      </c>
      <c r="BE106" s="645" t="e">
        <f t="shared" si="82"/>
        <v>#VALUE!</v>
      </c>
      <c r="BF106" s="645" t="e">
        <f t="shared" si="83"/>
        <v>#DIV/0!</v>
      </c>
      <c r="BG106" s="663"/>
      <c r="BH106" s="584"/>
      <c r="BI106" s="584"/>
      <c r="BJ106" s="584"/>
      <c r="BK106" s="584"/>
      <c r="BL106" s="584"/>
      <c r="BM106" s="584"/>
      <c r="BN106" s="584"/>
      <c r="BO106" s="584"/>
      <c r="BP106" s="584"/>
      <c r="BQ106" s="584"/>
      <c r="BR106" s="584"/>
      <c r="BS106" s="584"/>
      <c r="BT106" s="584"/>
      <c r="BU106" s="584"/>
    </row>
    <row r="107" spans="1:73" s="878" customFormat="1">
      <c r="A107" s="933" t="s">
        <v>632</v>
      </c>
      <c r="B107" s="673" t="s">
        <v>101</v>
      </c>
      <c r="C107" s="201" t="s">
        <v>1581</v>
      </c>
      <c r="D107" s="625"/>
      <c r="E107" s="819" t="str">
        <f t="shared" si="81"/>
        <v>Maize</v>
      </c>
      <c r="F107" s="798">
        <v>0</v>
      </c>
      <c r="G107" s="900"/>
      <c r="H107" s="906">
        <v>0</v>
      </c>
      <c r="I107" s="906">
        <v>0</v>
      </c>
      <c r="J107" s="898"/>
      <c r="K107" s="898"/>
      <c r="L107" s="885">
        <f t="shared" ref="L107" si="154">F107*S107*V107/10</f>
        <v>0</v>
      </c>
      <c r="M107" s="899">
        <f t="shared" ref="M107" si="155">F107*S107*V107/10000*AG107</f>
        <v>0</v>
      </c>
      <c r="N107" s="899"/>
      <c r="O107" s="899"/>
      <c r="P107" s="899"/>
      <c r="Q107" s="899"/>
      <c r="R107" s="898"/>
      <c r="S107" s="629">
        <f t="shared" ref="S107" si="156">(T107+U107)/2</f>
        <v>30</v>
      </c>
      <c r="T107" s="628">
        <v>25</v>
      </c>
      <c r="U107" s="628">
        <v>35</v>
      </c>
      <c r="V107" s="629">
        <f t="shared" ref="V107" si="157">(W107+X107)/2</f>
        <v>91</v>
      </c>
      <c r="W107" s="628">
        <v>86</v>
      </c>
      <c r="X107" s="628">
        <v>96</v>
      </c>
      <c r="Y107" s="629">
        <f t="shared" ref="Y107" si="158">(Z107+AA107)/2</f>
        <v>1.55</v>
      </c>
      <c r="Z107" s="671">
        <v>1.1000000000000001</v>
      </c>
      <c r="AA107" s="671">
        <v>2</v>
      </c>
      <c r="AB107" s="665">
        <f>AVERAGE(0.15,0.3)/AVERAGE(1.1,2)*100</f>
        <v>14.516129032258062</v>
      </c>
      <c r="AC107" s="631">
        <f t="shared" ref="AC107" si="159">AD107*Y107</f>
        <v>1.0075000000000001</v>
      </c>
      <c r="AD107" s="657">
        <v>0.65</v>
      </c>
      <c r="AE107" s="633"/>
      <c r="AF107" s="633"/>
      <c r="AG107" s="629">
        <f t="shared" ref="AG107" si="160">(AH107+AI107)/2</f>
        <v>610</v>
      </c>
      <c r="AH107" s="658">
        <v>520</v>
      </c>
      <c r="AI107" s="658">
        <v>700</v>
      </c>
      <c r="AJ107" s="627">
        <v>52</v>
      </c>
      <c r="AK107" s="630">
        <f t="shared" ref="AK107:AK114" si="161">AJ107*$AG107/100</f>
        <v>317.2</v>
      </c>
      <c r="AL107" s="634">
        <f t="shared" ref="AL107" si="162">L107*50%*28.62%*12.5%</f>
        <v>0</v>
      </c>
      <c r="AM107" s="635"/>
      <c r="AN107" s="689"/>
      <c r="AO107" s="635"/>
      <c r="AP107" s="638" t="e">
        <f>$M107*CH4_Gehalt*CH4_nichtabgedeckt*(1+Faktor_CH4_flüssig)*GärrestFlüssigMenge/(GärrestFestMenge+GärrestFlüssigMenge)</f>
        <v>#N/A</v>
      </c>
      <c r="AQ107" s="639" t="e">
        <f t="shared" ref="AQ107" si="163">F107*1000*S107/100*Y107/100*AB107/100*NH3emittiert*AnteilNH3Lagerung*(1+NH3plus)*((1+Faktor_NH3_Behandlung)*Anteil_V_fest+(1+FaktorNH3GülleBehandlung)*Anteil_V_flüssig)</f>
        <v>#N/A</v>
      </c>
      <c r="AR107" s="640" t="e">
        <f>IF(AR$137,F107*1000*S107/100*Y107/100*AB107/100*NH3emittiert*AR$2*(1+NH3plusAusbringung)*((1+Faktor_NH3fest_aus)*Anteil_V_fest+(1+Faktor_NH3_Ausbringung)*Anteil_V_flüssig),0)</f>
        <v>#N/A</v>
      </c>
      <c r="AS107" s="641" t="e">
        <f t="shared" ref="AS107" si="164">F107*(N2O_Gülle*Anteil_V_flüssig*(1+Faktor_N2O_GülleBehandlung)+N2O_Kompost*Anteil_V_fest*(1+Faktor_N2O_Behandlung))</f>
        <v>#DIV/0!</v>
      </c>
      <c r="AT107" s="642" t="e">
        <f>FaktorenBG!F$43*(1+FaktorenBG!F$56)*IF(Auswahl_Behandlung_fest&lt;5,$F107,0)</f>
        <v>#N/A</v>
      </c>
      <c r="AU107" s="642" t="e">
        <f>FaktorenBG!G$43*(1+FaktorenBG!G$56)*IF(Auswahl_Behandlung_fest&lt;5,$F107,0)</f>
        <v>#N/A</v>
      </c>
      <c r="AV107" s="642" t="e">
        <f>FaktorenBG!H$43*(1+FaktorenBG!H$56)*IF(Auswahl_Behandlung_fest&lt;5,$F107,0)</f>
        <v>#N/A</v>
      </c>
      <c r="AW107" s="643"/>
      <c r="AX107" s="643"/>
      <c r="AY107" s="626" t="s">
        <v>1047</v>
      </c>
      <c r="AZ107" s="692">
        <f>INDEX(SimaPro!$1:$1048576,AZ$1,MATCH(Substrates!$AY107,SimaPro!$1:$1,0))*$F107*1000</f>
        <v>0</v>
      </c>
      <c r="BA107" s="692">
        <f>INDEX(SimaPro!$1:$1048576,BA$1,MATCH(Substrates!$AY107,SimaPro!$1:$1,0))*$F107*1000</f>
        <v>0</v>
      </c>
      <c r="BB107" s="692">
        <f>INDEX(SimaPro!$1:$1048576,BB$1,MATCH(Substrates!$AY107,SimaPro!$1:$1,0))*$F107*1000</f>
        <v>0</v>
      </c>
      <c r="BC107" s="692">
        <f>INDEX(SimaPro!$1:$1048576,BC$1,MATCH(Substrates!$AY107,SimaPro!$1:$1,0))*$F107*1000</f>
        <v>0</v>
      </c>
      <c r="BD107" s="662" t="s">
        <v>1675</v>
      </c>
      <c r="BE107" s="645" t="e">
        <f t="shared" si="82"/>
        <v>#DIV/0!</v>
      </c>
      <c r="BF107" s="645" t="e">
        <f t="shared" si="83"/>
        <v>#DIV/0!</v>
      </c>
      <c r="BG107" s="663"/>
      <c r="BH107" s="584"/>
      <c r="BI107" s="584"/>
      <c r="BJ107" s="584"/>
      <c r="BK107" s="584"/>
      <c r="BL107" s="584"/>
      <c r="BM107" s="584"/>
      <c r="BN107" s="584"/>
      <c r="BO107" s="584"/>
      <c r="BP107" s="584"/>
      <c r="BQ107" s="584"/>
      <c r="BR107" s="584"/>
      <c r="BS107" s="584"/>
      <c r="BT107" s="584"/>
      <c r="BU107" s="584"/>
    </row>
    <row r="108" spans="1:73" s="878" customFormat="1">
      <c r="A108" s="933" t="s">
        <v>562</v>
      </c>
      <c r="B108" s="673" t="s">
        <v>767</v>
      </c>
      <c r="C108" s="201" t="s">
        <v>1587</v>
      </c>
      <c r="D108" s="625"/>
      <c r="E108" s="819" t="str">
        <f t="shared" ref="E108:E126" si="165">IF(sprache=1,A108,IF(sprache=2,B108,C108))</f>
        <v>Intense meadow</v>
      </c>
      <c r="F108" s="798">
        <v>0</v>
      </c>
      <c r="G108" s="900"/>
      <c r="H108" s="906">
        <v>0</v>
      </c>
      <c r="I108" s="906">
        <v>0</v>
      </c>
      <c r="J108" s="898"/>
      <c r="K108" s="898"/>
      <c r="L108" s="885">
        <f t="shared" ref="L108" si="166">F108*S108*V108/10</f>
        <v>0</v>
      </c>
      <c r="M108" s="899">
        <f t="shared" ref="M108" si="167">F108*S108*V108/10000*AG108</f>
        <v>0</v>
      </c>
      <c r="N108" s="899"/>
      <c r="O108" s="899"/>
      <c r="P108" s="899"/>
      <c r="Q108" s="899"/>
      <c r="R108" s="898"/>
      <c r="S108" s="629">
        <f t="shared" ref="S108" si="168">(T108+U108)/2</f>
        <v>42.5</v>
      </c>
      <c r="T108" s="628">
        <v>25</v>
      </c>
      <c r="U108" s="628">
        <v>60</v>
      </c>
      <c r="V108" s="629">
        <f t="shared" ref="V108" si="169">(W108+X108)/2</f>
        <v>82.5</v>
      </c>
      <c r="W108" s="628">
        <v>69</v>
      </c>
      <c r="X108" s="628">
        <v>96</v>
      </c>
      <c r="Y108" s="629">
        <f t="shared" ref="Y108" si="170">(Z108+AA108)/2</f>
        <v>5.2</v>
      </c>
      <c r="Z108" s="671">
        <v>3.5</v>
      </c>
      <c r="AA108" s="671">
        <v>6.9</v>
      </c>
      <c r="AB108" s="665">
        <f t="shared" si="132"/>
        <v>38.951310861423217</v>
      </c>
      <c r="AC108" s="631">
        <f t="shared" ref="AC108" si="171">AD108*Y108</f>
        <v>3.6399999999999997</v>
      </c>
      <c r="AD108" s="657">
        <v>0.7</v>
      </c>
      <c r="AE108" s="633">
        <v>6.9</v>
      </c>
      <c r="AF108" s="633">
        <v>19.8</v>
      </c>
      <c r="AG108" s="629">
        <f t="shared" ref="AG108" si="172">(AH108+AI108)/2</f>
        <v>565</v>
      </c>
      <c r="AH108" s="658">
        <v>520</v>
      </c>
      <c r="AI108" s="658">
        <v>610</v>
      </c>
      <c r="AJ108" s="627">
        <v>54</v>
      </c>
      <c r="AK108" s="630">
        <f t="shared" si="161"/>
        <v>305.10000000000002</v>
      </c>
      <c r="AL108" s="634">
        <f t="shared" ref="AL108" si="173">L108*50%*28.62%*12.5%</f>
        <v>0</v>
      </c>
      <c r="AM108" s="635"/>
      <c r="AN108" s="689"/>
      <c r="AO108" s="635"/>
      <c r="AP108" s="638" t="e">
        <f>$M108*CH4_Gehalt*CH4_nichtabgedeckt*(1+Faktor_CH4_flüssig)*GärrestFlüssigMenge/(GärrestFestMenge+GärrestFlüssigMenge)</f>
        <v>#N/A</v>
      </c>
      <c r="AQ108" s="639" t="e">
        <f t="shared" ref="AQ108" si="174">F108*1000*S108/100*Y108/100*AB108/100*NH3emittiert*AnteilNH3Lagerung*(1+NH3plus)*((1+Faktor_NH3_Behandlung)*Anteil_V_fest+(1+FaktorNH3GülleBehandlung)*Anteil_V_flüssig)</f>
        <v>#N/A</v>
      </c>
      <c r="AR108" s="640" t="e">
        <f>IF(AR$137,F108*1000*S108/100*Y108/100*AB108/100*NH3emittiert*AR$2*(1+NH3plusAusbringung)*((1+Faktor_NH3fest_aus)*Anteil_V_fest+(1+Faktor_NH3_Ausbringung)*Anteil_V_flüssig),0)</f>
        <v>#N/A</v>
      </c>
      <c r="AS108" s="641" t="e">
        <f t="shared" ref="AS108" si="175">F108*(N2O_Gülle*Anteil_V_flüssig*(1+Faktor_N2O_GülleBehandlung)+N2O_Kompost*Anteil_V_fest*(1+Faktor_N2O_Behandlung))</f>
        <v>#DIV/0!</v>
      </c>
      <c r="AT108" s="642" t="e">
        <f>FaktorenBG!F$43*(1+FaktorenBG!F$56)*IF(Auswahl_Behandlung_fest&lt;5,$F108,0)</f>
        <v>#N/A</v>
      </c>
      <c r="AU108" s="642" t="e">
        <f>FaktorenBG!G$43*(1+FaktorenBG!G$56)*IF(Auswahl_Behandlung_fest&lt;5,$F108,0)</f>
        <v>#N/A</v>
      </c>
      <c r="AV108" s="642" t="e">
        <f>FaktorenBG!H$43*(1+FaktorenBG!H$56)*IF(Auswahl_Behandlung_fest&lt;5,$F108,0)</f>
        <v>#N/A</v>
      </c>
      <c r="AW108" s="643"/>
      <c r="AX108" s="643"/>
      <c r="AY108" s="626" t="s">
        <v>1050</v>
      </c>
      <c r="AZ108" s="692">
        <f>INDEX(SimaPro!$1:$1048576,AZ$1,MATCH(Substrates!$AY108,SimaPro!$1:$1,0))*$F108*1000</f>
        <v>0</v>
      </c>
      <c r="BA108" s="692">
        <f>INDEX(SimaPro!$1:$1048576,BA$1,MATCH(Substrates!$AY108,SimaPro!$1:$1,0))*$F108*1000</f>
        <v>0</v>
      </c>
      <c r="BB108" s="692">
        <f>INDEX(SimaPro!$1:$1048576,BB$1,MATCH(Substrates!$AY108,SimaPro!$1:$1,0))*$F108*1000</f>
        <v>0</v>
      </c>
      <c r="BC108" s="692">
        <f>INDEX(SimaPro!$1:$1048576,BC$1,MATCH(Substrates!$AY108,SimaPro!$1:$1,0))*$F108*1000</f>
        <v>0</v>
      </c>
      <c r="BD108" s="662" t="s">
        <v>1675</v>
      </c>
      <c r="BE108" s="645" t="e">
        <f t="shared" si="82"/>
        <v>#DIV/0!</v>
      </c>
      <c r="BF108" s="645" t="e">
        <f t="shared" si="83"/>
        <v>#DIV/0!</v>
      </c>
      <c r="BG108" s="663"/>
      <c r="BH108" s="584"/>
      <c r="BI108" s="584"/>
      <c r="BJ108" s="584"/>
      <c r="BK108" s="584"/>
      <c r="BL108" s="584"/>
      <c r="BM108" s="584"/>
      <c r="BN108" s="584"/>
      <c r="BO108" s="584"/>
      <c r="BP108" s="584"/>
      <c r="BQ108" s="584"/>
      <c r="BR108" s="584"/>
      <c r="BS108" s="584"/>
      <c r="BT108" s="584"/>
      <c r="BU108" s="584"/>
    </row>
    <row r="109" spans="1:73" s="878" customFormat="1">
      <c r="A109" s="933"/>
      <c r="B109" s="673"/>
      <c r="C109" s="201"/>
      <c r="D109" s="625"/>
      <c r="E109" s="853"/>
      <c r="F109" s="853"/>
      <c r="G109" s="853"/>
      <c r="H109" s="853"/>
      <c r="I109" s="853"/>
      <c r="J109" s="853"/>
      <c r="K109" s="853"/>
      <c r="L109" s="853"/>
      <c r="M109" s="853"/>
      <c r="N109" s="853"/>
      <c r="O109" s="853"/>
      <c r="P109" s="853"/>
      <c r="Q109" s="853"/>
      <c r="R109" s="853"/>
      <c r="S109" s="629"/>
      <c r="T109" s="628"/>
      <c r="U109" s="628"/>
      <c r="V109" s="629"/>
      <c r="W109" s="628"/>
      <c r="X109" s="628"/>
      <c r="Y109" s="629"/>
      <c r="Z109" s="671"/>
      <c r="AA109" s="671"/>
      <c r="AB109" s="665"/>
      <c r="AC109" s="631"/>
      <c r="AD109" s="657"/>
      <c r="AE109" s="633"/>
      <c r="AF109" s="633"/>
      <c r="AG109" s="629"/>
      <c r="AH109" s="658"/>
      <c r="AI109" s="658"/>
      <c r="AJ109" s="627"/>
      <c r="AK109" s="630"/>
      <c r="AL109" s="634"/>
      <c r="AM109" s="635"/>
      <c r="AN109" s="689"/>
      <c r="AO109" s="635"/>
      <c r="AP109" s="638"/>
      <c r="AQ109" s="639"/>
      <c r="AR109" s="640"/>
      <c r="AS109" s="641"/>
      <c r="AT109" s="642"/>
      <c r="AU109" s="642"/>
      <c r="AV109" s="642"/>
      <c r="AW109" s="643"/>
      <c r="AX109" s="643"/>
      <c r="AY109" s="626"/>
      <c r="AZ109" s="692"/>
      <c r="BA109" s="692"/>
      <c r="BB109" s="692"/>
      <c r="BC109" s="692"/>
      <c r="BD109" s="662"/>
      <c r="BE109" s="645"/>
      <c r="BF109" s="645"/>
      <c r="BG109" s="663"/>
      <c r="BH109" s="584"/>
      <c r="BI109" s="584"/>
      <c r="BJ109" s="584"/>
      <c r="BK109" s="584"/>
      <c r="BL109" s="584"/>
      <c r="BM109" s="584"/>
      <c r="BN109" s="584"/>
      <c r="BO109" s="584"/>
      <c r="BP109" s="584"/>
      <c r="BQ109" s="584"/>
      <c r="BR109" s="584"/>
      <c r="BS109" s="584"/>
      <c r="BT109" s="584"/>
      <c r="BU109" s="584"/>
    </row>
    <row r="110" spans="1:73" s="878" customFormat="1" ht="14.25">
      <c r="A110" s="940" t="s">
        <v>371</v>
      </c>
      <c r="B110" s="673" t="s">
        <v>1619</v>
      </c>
      <c r="C110" s="939" t="s">
        <v>1588</v>
      </c>
      <c r="D110" s="625"/>
      <c r="E110" s="980" t="str">
        <f t="shared" si="165"/>
        <v>Sewage sludge and similar substrates</v>
      </c>
      <c r="F110" s="1017" t="s">
        <v>74</v>
      </c>
      <c r="G110" s="1017" t="e">
        <f>Währung&amp;"/a"</f>
        <v>#N/A</v>
      </c>
      <c r="H110" s="1017" t="s">
        <v>273</v>
      </c>
      <c r="I110" s="1017" t="s">
        <v>273</v>
      </c>
      <c r="J110" s="1017"/>
      <c r="K110" s="1017"/>
      <c r="L110" s="1017" t="s">
        <v>75</v>
      </c>
      <c r="M110" s="1017" t="s">
        <v>1683</v>
      </c>
      <c r="N110" s="1018"/>
      <c r="O110" s="1018"/>
      <c r="P110" s="1018"/>
      <c r="Q110" s="1018"/>
      <c r="R110" s="1017"/>
      <c r="S110" s="683"/>
      <c r="T110" s="684"/>
      <c r="U110" s="684"/>
      <c r="V110" s="683"/>
      <c r="W110" s="684"/>
      <c r="X110" s="684"/>
      <c r="Y110" s="683"/>
      <c r="Z110" s="684"/>
      <c r="AA110" s="684"/>
      <c r="AB110" s="654"/>
      <c r="AC110" s="685"/>
      <c r="AD110" s="686"/>
      <c r="AE110" s="631"/>
      <c r="AF110" s="631"/>
      <c r="AG110" s="683"/>
      <c r="AH110" s="684"/>
      <c r="AI110" s="684"/>
      <c r="AJ110" s="684"/>
      <c r="AK110" s="687"/>
      <c r="AL110" s="684"/>
      <c r="AM110" s="635"/>
      <c r="AN110" s="689"/>
      <c r="AO110" s="635"/>
      <c r="AP110" s="684"/>
      <c r="AQ110" s="640"/>
      <c r="AR110" s="640"/>
      <c r="AS110" s="642"/>
      <c r="AT110" s="642"/>
      <c r="AU110" s="642"/>
      <c r="AV110" s="642"/>
      <c r="AW110" s="643"/>
      <c r="AX110" s="690"/>
      <c r="AY110" s="691"/>
      <c r="AZ110" s="661"/>
      <c r="BA110" s="661"/>
      <c r="BB110" s="661"/>
      <c r="BC110" s="661"/>
      <c r="BD110" s="662" t="s">
        <v>1675</v>
      </c>
      <c r="BE110" s="645" t="e">
        <f t="shared" si="82"/>
        <v>#VALUE!</v>
      </c>
      <c r="BF110" s="645" t="e">
        <f t="shared" si="83"/>
        <v>#DIV/0!</v>
      </c>
      <c r="BG110" s="663"/>
      <c r="BH110" s="584"/>
      <c r="BI110" s="584"/>
      <c r="BJ110" s="584"/>
      <c r="BK110" s="584"/>
      <c r="BL110" s="584"/>
      <c r="BM110" s="584"/>
      <c r="BN110" s="584"/>
      <c r="BO110" s="584"/>
      <c r="BP110" s="584"/>
      <c r="BQ110" s="584"/>
      <c r="BR110" s="584"/>
      <c r="BS110" s="584"/>
      <c r="BT110" s="584"/>
      <c r="BU110" s="584"/>
    </row>
    <row r="111" spans="1:73" s="878" customFormat="1">
      <c r="A111" s="673" t="s">
        <v>120</v>
      </c>
      <c r="B111" s="673" t="s">
        <v>469</v>
      </c>
      <c r="C111" s="201" t="s">
        <v>1589</v>
      </c>
      <c r="D111" s="625"/>
      <c r="E111" s="819" t="str">
        <f t="shared" ref="E111" si="176">IF(sprache=1,A111,IF(sprache=2,B111,C111))</f>
        <v>Fresh sludge, wet</v>
      </c>
      <c r="F111" s="796">
        <v>0</v>
      </c>
      <c r="G111" s="797">
        <v>0</v>
      </c>
      <c r="H111" s="906">
        <v>0</v>
      </c>
      <c r="I111" s="906">
        <v>0</v>
      </c>
      <c r="J111" s="898"/>
      <c r="K111" s="898"/>
      <c r="L111" s="885">
        <f t="shared" ref="L111:L114" si="177">F111*S111*V111/10</f>
        <v>0</v>
      </c>
      <c r="M111" s="899">
        <f t="shared" ref="M111:M114" si="178">F111*S111*V111/10000*AG111</f>
        <v>0</v>
      </c>
      <c r="N111" s="899"/>
      <c r="O111" s="899"/>
      <c r="P111" s="899"/>
      <c r="Q111" s="899"/>
      <c r="R111" s="897" t="str">
        <f>IF(F111&gt;0,IF(G111/F111/1000&lt;AX111,INDEX(menuesBG!$1:$1048576,Warnung,sprache),""),"")</f>
        <v/>
      </c>
      <c r="S111" s="694">
        <v>3.5</v>
      </c>
      <c r="T111" s="628"/>
      <c r="U111" s="628"/>
      <c r="V111" s="694">
        <v>55</v>
      </c>
      <c r="W111" s="628"/>
      <c r="X111" s="628"/>
      <c r="Y111" s="629">
        <f t="shared" ref="Y111:Y114" si="179">(Z111+AA111)/2</f>
        <v>2.9930555555555554</v>
      </c>
      <c r="Z111" s="668">
        <f t="shared" ref="Z111:AA114" si="180">Z$138</f>
        <v>2.3277777777777775</v>
      </c>
      <c r="AA111" s="668">
        <f t="shared" si="180"/>
        <v>3.6583333333333337</v>
      </c>
      <c r="AB111" s="654">
        <v>13</v>
      </c>
      <c r="AC111" s="631">
        <f t="shared" ref="AC111:AC114" si="181">AD111*Y111</f>
        <v>1.8457175925925919</v>
      </c>
      <c r="AD111" s="666">
        <f t="shared" ref="AD111:AF113" si="182">AD$138</f>
        <v>0.61666666666666647</v>
      </c>
      <c r="AE111" s="667">
        <f t="shared" si="182"/>
        <v>45.65</v>
      </c>
      <c r="AF111" s="667">
        <f t="shared" si="182"/>
        <v>50.55</v>
      </c>
      <c r="AG111" s="694">
        <v>475</v>
      </c>
      <c r="AH111" s="694">
        <v>450</v>
      </c>
      <c r="AI111" s="694">
        <v>500</v>
      </c>
      <c r="AJ111" s="694">
        <v>67</v>
      </c>
      <c r="AK111" s="695">
        <f t="shared" ref="AK111" si="183">AJ111*$AG111/100</f>
        <v>318.25</v>
      </c>
      <c r="AL111" s="634"/>
      <c r="AM111" s="635"/>
      <c r="AN111" s="689"/>
      <c r="AO111" s="635"/>
      <c r="AP111" s="638" t="e">
        <f>$M111*CH4_Gehalt*CH4_nichtabgedeckt*(1+Faktor_CH4_flüssig)*GärrestFlüssigMenge/(GärrestFestMenge+GärrestFlüssigMenge)</f>
        <v>#N/A</v>
      </c>
      <c r="AQ111" s="640"/>
      <c r="AR111" s="640"/>
      <c r="AS111" s="642"/>
      <c r="AT111" s="642"/>
      <c r="AU111" s="642"/>
      <c r="AV111" s="642"/>
      <c r="AW111" s="643">
        <f t="shared" ref="AW111" si="184">IF(F111&gt;0,G111/F111/1000,0)</f>
        <v>0</v>
      </c>
      <c r="AX111" s="690"/>
      <c r="AY111" s="691"/>
      <c r="AZ111" s="661"/>
      <c r="BA111" s="661"/>
      <c r="BB111" s="661"/>
      <c r="BC111" s="661"/>
      <c r="BD111" s="662" t="s">
        <v>1675</v>
      </c>
      <c r="BE111" s="645" t="e">
        <f t="shared" ref="BE111" si="185">M111/Gasertrag_berechnet</f>
        <v>#DIV/0!</v>
      </c>
      <c r="BF111" s="645" t="e">
        <f t="shared" ref="BF111" si="186">AZ111/Belastung_Substrat</f>
        <v>#DIV/0!</v>
      </c>
      <c r="BG111" s="663"/>
      <c r="BH111" s="584"/>
      <c r="BI111" s="584"/>
      <c r="BJ111" s="584"/>
      <c r="BK111" s="584"/>
      <c r="BL111" s="584"/>
      <c r="BM111" s="584"/>
      <c r="BN111" s="584"/>
      <c r="BO111" s="584"/>
      <c r="BP111" s="584"/>
      <c r="BQ111" s="584"/>
      <c r="BR111" s="584"/>
      <c r="BS111" s="584"/>
      <c r="BT111" s="584"/>
      <c r="BU111" s="584"/>
    </row>
    <row r="112" spans="1:73" s="878" customFormat="1">
      <c r="A112" s="673" t="s">
        <v>121</v>
      </c>
      <c r="B112" s="673" t="s">
        <v>470</v>
      </c>
      <c r="C112" s="201" t="s">
        <v>1590</v>
      </c>
      <c r="D112" s="625"/>
      <c r="E112" s="819" t="str">
        <f t="shared" si="165"/>
        <v>Digested sludge, wet</v>
      </c>
      <c r="F112" s="796">
        <v>0</v>
      </c>
      <c r="G112" s="797">
        <v>0</v>
      </c>
      <c r="H112" s="906">
        <v>0</v>
      </c>
      <c r="I112" s="906">
        <v>0</v>
      </c>
      <c r="J112" s="898"/>
      <c r="K112" s="898"/>
      <c r="L112" s="885">
        <f t="shared" si="177"/>
        <v>0</v>
      </c>
      <c r="M112" s="899">
        <f t="shared" si="178"/>
        <v>0</v>
      </c>
      <c r="N112" s="899"/>
      <c r="O112" s="899"/>
      <c r="P112" s="899"/>
      <c r="Q112" s="899"/>
      <c r="R112" s="897" t="str">
        <f>IF(F112&gt;0,IF(G112/F112/1000&lt;AX112,INDEX(menuesBG!$1:$1048576,Warnung,sprache),""),"")</f>
        <v/>
      </c>
      <c r="S112" s="694">
        <v>2.7</v>
      </c>
      <c r="T112" s="628"/>
      <c r="U112" s="628"/>
      <c r="V112" s="694">
        <v>31</v>
      </c>
      <c r="W112" s="628"/>
      <c r="X112" s="628"/>
      <c r="Y112" s="629">
        <f t="shared" si="179"/>
        <v>2.9930555555555554</v>
      </c>
      <c r="Z112" s="668">
        <f t="shared" si="180"/>
        <v>2.3277777777777775</v>
      </c>
      <c r="AA112" s="668">
        <f t="shared" si="180"/>
        <v>3.6583333333333337</v>
      </c>
      <c r="AB112" s="654">
        <v>13</v>
      </c>
      <c r="AC112" s="631">
        <f t="shared" si="181"/>
        <v>1.8457175925925919</v>
      </c>
      <c r="AD112" s="666">
        <f t="shared" si="182"/>
        <v>0.61666666666666647</v>
      </c>
      <c r="AE112" s="667">
        <f t="shared" si="182"/>
        <v>45.65</v>
      </c>
      <c r="AF112" s="667">
        <f t="shared" si="182"/>
        <v>50.55</v>
      </c>
      <c r="AG112" s="694">
        <v>60</v>
      </c>
      <c r="AH112" s="694">
        <v>45</v>
      </c>
      <c r="AI112" s="694">
        <v>75</v>
      </c>
      <c r="AJ112" s="694">
        <v>50</v>
      </c>
      <c r="AK112" s="695">
        <f t="shared" si="161"/>
        <v>30</v>
      </c>
      <c r="AL112" s="634"/>
      <c r="AM112" s="635"/>
      <c r="AN112" s="689"/>
      <c r="AO112" s="635"/>
      <c r="AP112" s="638" t="e">
        <f>$M112*CH4_Gehalt*CH4_nichtabgedeckt*(1+Faktor_CH4_flüssig)*GärrestFlüssigMenge/(GärrestFestMenge+GärrestFlüssigMenge)</f>
        <v>#N/A</v>
      </c>
      <c r="AQ112" s="640"/>
      <c r="AR112" s="640"/>
      <c r="AS112" s="642"/>
      <c r="AT112" s="642"/>
      <c r="AU112" s="642"/>
      <c r="AV112" s="642"/>
      <c r="AW112" s="643">
        <f t="shared" si="89"/>
        <v>0</v>
      </c>
      <c r="AX112" s="690"/>
      <c r="AY112" s="691"/>
      <c r="AZ112" s="661"/>
      <c r="BA112" s="661"/>
      <c r="BB112" s="661"/>
      <c r="BC112" s="661"/>
      <c r="BD112" s="662" t="s">
        <v>1675</v>
      </c>
      <c r="BE112" s="645" t="e">
        <f t="shared" si="82"/>
        <v>#DIV/0!</v>
      </c>
      <c r="BF112" s="645" t="e">
        <f t="shared" si="83"/>
        <v>#DIV/0!</v>
      </c>
      <c r="BG112" s="663"/>
      <c r="BH112" s="584"/>
      <c r="BI112" s="584"/>
      <c r="BJ112" s="584"/>
      <c r="BK112" s="584"/>
      <c r="BL112" s="584"/>
      <c r="BM112" s="584"/>
      <c r="BN112" s="584"/>
      <c r="BO112" s="584"/>
      <c r="BP112" s="584"/>
      <c r="BQ112" s="584"/>
      <c r="BR112" s="584"/>
      <c r="BS112" s="584"/>
      <c r="BT112" s="584"/>
      <c r="BU112" s="584"/>
    </row>
    <row r="113" spans="1:73" s="878" customFormat="1">
      <c r="A113" s="673" t="s">
        <v>122</v>
      </c>
      <c r="B113" s="673" t="s">
        <v>471</v>
      </c>
      <c r="C113" s="201" t="s">
        <v>1591</v>
      </c>
      <c r="D113" s="625"/>
      <c r="E113" s="819" t="str">
        <f t="shared" si="165"/>
        <v>Digested sludge, dewatered</v>
      </c>
      <c r="F113" s="796">
        <v>0</v>
      </c>
      <c r="G113" s="797">
        <v>0</v>
      </c>
      <c r="H113" s="906">
        <v>0</v>
      </c>
      <c r="I113" s="906">
        <v>0</v>
      </c>
      <c r="J113" s="898"/>
      <c r="K113" s="898"/>
      <c r="L113" s="885">
        <f t="shared" si="177"/>
        <v>0</v>
      </c>
      <c r="M113" s="899">
        <f t="shared" si="178"/>
        <v>0</v>
      </c>
      <c r="N113" s="899"/>
      <c r="O113" s="899"/>
      <c r="P113" s="899"/>
      <c r="Q113" s="899"/>
      <c r="R113" s="897" t="str">
        <f>IF(F113&gt;0,IF(G113/F113/1000&lt;AX113,INDEX(menuesBG!$1:$1048576,Warnung,sprache),""),"")</f>
        <v/>
      </c>
      <c r="S113" s="694">
        <v>36</v>
      </c>
      <c r="T113" s="628"/>
      <c r="U113" s="628"/>
      <c r="V113" s="694">
        <v>31</v>
      </c>
      <c r="W113" s="628"/>
      <c r="X113" s="628"/>
      <c r="Y113" s="629">
        <f t="shared" si="179"/>
        <v>2.9930555555555554</v>
      </c>
      <c r="Z113" s="668">
        <f t="shared" si="180"/>
        <v>2.3277777777777775</v>
      </c>
      <c r="AA113" s="668">
        <f t="shared" si="180"/>
        <v>3.6583333333333337</v>
      </c>
      <c r="AB113" s="654">
        <v>13</v>
      </c>
      <c r="AC113" s="631">
        <f t="shared" si="181"/>
        <v>1.8457175925925919</v>
      </c>
      <c r="AD113" s="666">
        <f t="shared" si="182"/>
        <v>0.61666666666666647</v>
      </c>
      <c r="AE113" s="667">
        <f t="shared" si="182"/>
        <v>45.65</v>
      </c>
      <c r="AF113" s="667">
        <f t="shared" si="182"/>
        <v>50.55</v>
      </c>
      <c r="AG113" s="694">
        <v>60</v>
      </c>
      <c r="AH113" s="694">
        <v>45</v>
      </c>
      <c r="AI113" s="694">
        <v>75</v>
      </c>
      <c r="AJ113" s="694">
        <v>50</v>
      </c>
      <c r="AK113" s="695">
        <f t="shared" si="161"/>
        <v>30</v>
      </c>
      <c r="AL113" s="634"/>
      <c r="AM113" s="635"/>
      <c r="AN113" s="689"/>
      <c r="AO113" s="635"/>
      <c r="AP113" s="638" t="e">
        <f>$M113*CH4_Gehalt*CH4_nichtabgedeckt*(1+Faktor_CH4_flüssig)*GärrestFlüssigMenge/(GärrestFestMenge+GärrestFlüssigMenge)</f>
        <v>#N/A</v>
      </c>
      <c r="AQ113" s="640"/>
      <c r="AR113" s="640"/>
      <c r="AS113" s="642"/>
      <c r="AT113" s="642"/>
      <c r="AU113" s="642"/>
      <c r="AV113" s="642"/>
      <c r="AW113" s="643">
        <f t="shared" si="89"/>
        <v>0</v>
      </c>
      <c r="AX113" s="690"/>
      <c r="AY113" s="691"/>
      <c r="AZ113" s="661"/>
      <c r="BA113" s="661"/>
      <c r="BB113" s="661"/>
      <c r="BC113" s="661"/>
      <c r="BD113" s="662" t="s">
        <v>1675</v>
      </c>
      <c r="BE113" s="645" t="e">
        <f t="shared" si="82"/>
        <v>#DIV/0!</v>
      </c>
      <c r="BF113" s="645" t="e">
        <f t="shared" si="83"/>
        <v>#DIV/0!</v>
      </c>
      <c r="BG113" s="663"/>
      <c r="BH113" s="584"/>
      <c r="BI113" s="584"/>
      <c r="BJ113" s="584"/>
      <c r="BK113" s="584"/>
      <c r="BL113" s="584"/>
      <c r="BM113" s="584"/>
      <c r="BN113" s="584"/>
      <c r="BO113" s="584"/>
      <c r="BP113" s="584"/>
      <c r="BQ113" s="584"/>
      <c r="BR113" s="584"/>
      <c r="BS113" s="584"/>
      <c r="BT113" s="584"/>
      <c r="BU113" s="584"/>
    </row>
    <row r="114" spans="1:73" s="878" customFormat="1">
      <c r="A114" s="673" t="s">
        <v>168</v>
      </c>
      <c r="B114" s="673" t="s">
        <v>472</v>
      </c>
      <c r="C114" s="201" t="s">
        <v>1592</v>
      </c>
      <c r="D114" s="625"/>
      <c r="E114" s="819" t="str">
        <f t="shared" si="165"/>
        <v>Domestic sewage sludge</v>
      </c>
      <c r="F114" s="796">
        <v>0</v>
      </c>
      <c r="G114" s="797">
        <v>0</v>
      </c>
      <c r="H114" s="906">
        <v>0</v>
      </c>
      <c r="I114" s="906">
        <v>0</v>
      </c>
      <c r="J114" s="898"/>
      <c r="K114" s="898"/>
      <c r="L114" s="885">
        <f t="shared" si="177"/>
        <v>0</v>
      </c>
      <c r="M114" s="899">
        <f t="shared" si="178"/>
        <v>0</v>
      </c>
      <c r="N114" s="899"/>
      <c r="O114" s="899"/>
      <c r="P114" s="899"/>
      <c r="Q114" s="899"/>
      <c r="R114" s="897" t="str">
        <f>IF(F114&gt;0,IF(G114/F114/1000&lt;AX114,INDEX(menuesBG!$1:$1048576,Warnung,sprache),""),"")</f>
        <v/>
      </c>
      <c r="S114" s="629">
        <f>(T114+U114)/2</f>
        <v>5</v>
      </c>
      <c r="T114" s="668">
        <v>5</v>
      </c>
      <c r="U114" s="668">
        <v>5</v>
      </c>
      <c r="V114" s="629">
        <f>(W114+X114)/2</f>
        <v>73.900000000000006</v>
      </c>
      <c r="W114" s="668">
        <f>W$138</f>
        <v>73.900000000000006</v>
      </c>
      <c r="X114" s="668">
        <f>X$138</f>
        <v>73.900000000000006</v>
      </c>
      <c r="Y114" s="629">
        <f t="shared" si="179"/>
        <v>2.9930555555555554</v>
      </c>
      <c r="Z114" s="668">
        <f t="shared" si="180"/>
        <v>2.3277777777777775</v>
      </c>
      <c r="AA114" s="668">
        <f t="shared" si="180"/>
        <v>3.6583333333333337</v>
      </c>
      <c r="AB114" s="654">
        <v>13</v>
      </c>
      <c r="AC114" s="631">
        <f t="shared" si="181"/>
        <v>1.8457175925925919</v>
      </c>
      <c r="AD114" s="666">
        <f t="shared" ref="AD114:AF115" si="187">AD$138</f>
        <v>0.61666666666666647</v>
      </c>
      <c r="AE114" s="667">
        <f t="shared" si="187"/>
        <v>45.65</v>
      </c>
      <c r="AF114" s="667">
        <f t="shared" si="187"/>
        <v>50.55</v>
      </c>
      <c r="AG114" s="629">
        <f t="shared" ref="AG114" si="188">(AH114+AI114)/2</f>
        <v>492</v>
      </c>
      <c r="AH114" s="668">
        <f>AH$138</f>
        <v>376</v>
      </c>
      <c r="AI114" s="668">
        <f>AI$138</f>
        <v>608</v>
      </c>
      <c r="AJ114" s="694">
        <v>57</v>
      </c>
      <c r="AK114" s="695">
        <f t="shared" si="161"/>
        <v>280.44</v>
      </c>
      <c r="AL114" s="634"/>
      <c r="AM114" s="635"/>
      <c r="AN114" s="689"/>
      <c r="AO114" s="635"/>
      <c r="AP114" s="638" t="e">
        <f>$M114*CH4_Gehalt*CH4_nichtabgedeckt*(1+Faktor_CH4_flüssig)*GärrestFlüssigMenge/(GärrestFestMenge+GärrestFlüssigMenge)</f>
        <v>#N/A</v>
      </c>
      <c r="AQ114" s="640"/>
      <c r="AR114" s="640"/>
      <c r="AS114" s="642"/>
      <c r="AT114" s="642"/>
      <c r="AU114" s="642"/>
      <c r="AV114" s="642"/>
      <c r="AW114" s="643">
        <f t="shared" ref="AW114" si="189">IF(F114&gt;0,G114/F114/1000,0)</f>
        <v>0</v>
      </c>
      <c r="AX114" s="690"/>
      <c r="AY114" s="691"/>
      <c r="AZ114" s="661"/>
      <c r="BA114" s="661"/>
      <c r="BB114" s="661"/>
      <c r="BC114" s="661"/>
      <c r="BD114" s="662" t="s">
        <v>1675</v>
      </c>
      <c r="BE114" s="645" t="e">
        <f t="shared" si="82"/>
        <v>#DIV/0!</v>
      </c>
      <c r="BF114" s="645" t="e">
        <f t="shared" si="83"/>
        <v>#DIV/0!</v>
      </c>
      <c r="BG114" s="663"/>
      <c r="BH114" s="584"/>
      <c r="BI114" s="584"/>
      <c r="BJ114" s="584"/>
      <c r="BK114" s="584"/>
      <c r="BL114" s="584"/>
      <c r="BM114" s="584"/>
      <c r="BN114" s="584"/>
      <c r="BO114" s="584"/>
      <c r="BP114" s="584"/>
      <c r="BQ114" s="584"/>
      <c r="BR114" s="584"/>
      <c r="BS114" s="584"/>
      <c r="BT114" s="584"/>
      <c r="BU114" s="584"/>
    </row>
    <row r="115" spans="1:73" s="878" customFormat="1">
      <c r="A115" s="673" t="s">
        <v>630</v>
      </c>
      <c r="B115" s="673" t="s">
        <v>758</v>
      </c>
      <c r="C115" s="201" t="s">
        <v>1593</v>
      </c>
      <c r="D115" s="625"/>
      <c r="E115" s="819" t="str">
        <f>IF(sprache=1,A115,IF(sprache=2,B115,C115))</f>
        <v>Slaughterhouse waste Category 1</v>
      </c>
      <c r="F115" s="796">
        <v>0</v>
      </c>
      <c r="G115" s="797">
        <v>0</v>
      </c>
      <c r="H115" s="906">
        <v>0</v>
      </c>
      <c r="I115" s="906">
        <v>0</v>
      </c>
      <c r="J115" s="898"/>
      <c r="K115" s="898"/>
      <c r="L115" s="885">
        <f>F115*S115*V115/10</f>
        <v>0</v>
      </c>
      <c r="M115" s="899">
        <f>F115*S115*V115/10000*AG115</f>
        <v>0</v>
      </c>
      <c r="N115" s="899"/>
      <c r="O115" s="899"/>
      <c r="P115" s="899"/>
      <c r="Q115" s="899"/>
      <c r="R115" s="897" t="str">
        <f>IF(F115&gt;0,IF(G115/F115/1000&lt;AX115,INDEX(menuesBG!$1:$1048576,Warnung,sprache),""),"")</f>
        <v/>
      </c>
      <c r="S115" s="629">
        <f t="shared" ref="S115" si="190">(T115+U115)/2</f>
        <v>30.7</v>
      </c>
      <c r="T115" s="668">
        <f>T$138</f>
        <v>30.7</v>
      </c>
      <c r="U115" s="668">
        <f>U$138</f>
        <v>30.7</v>
      </c>
      <c r="V115" s="629">
        <f>(W115+X115)/2</f>
        <v>73.900000000000006</v>
      </c>
      <c r="W115" s="668">
        <f>W$138</f>
        <v>73.900000000000006</v>
      </c>
      <c r="X115" s="668">
        <f>X$138</f>
        <v>73.900000000000006</v>
      </c>
      <c r="Y115" s="629">
        <f>(Z115+AA115)/2</f>
        <v>1.85</v>
      </c>
      <c r="Z115" s="668">
        <v>0.1</v>
      </c>
      <c r="AA115" s="668">
        <v>3.6</v>
      </c>
      <c r="AB115" s="654">
        <f>AVERAGE(0.02,1.5)/AVERAGE(0.1,3.6)*100</f>
        <v>41.081081081081081</v>
      </c>
      <c r="AC115" s="631">
        <f>AD115*Y115</f>
        <v>1.1408333333333329</v>
      </c>
      <c r="AD115" s="666">
        <f t="shared" si="187"/>
        <v>0.61666666666666647</v>
      </c>
      <c r="AE115" s="667">
        <f t="shared" si="187"/>
        <v>45.65</v>
      </c>
      <c r="AF115" s="667">
        <f t="shared" si="187"/>
        <v>50.55</v>
      </c>
      <c r="AG115" s="629">
        <f t="shared" ref="AG115" si="191">(AH115+AI115)/2</f>
        <v>688</v>
      </c>
      <c r="AH115" s="668">
        <f>AH$138</f>
        <v>376</v>
      </c>
      <c r="AI115" s="668">
        <v>1000</v>
      </c>
      <c r="AJ115" s="694">
        <v>59</v>
      </c>
      <c r="AK115" s="695">
        <f>AJ115*$AG115/100</f>
        <v>405.92</v>
      </c>
      <c r="AL115" s="634">
        <f t="shared" ref="AL115" si="192">L115*50%*28.62%*12.5%</f>
        <v>0</v>
      </c>
      <c r="AM115" s="635"/>
      <c r="AN115" s="689"/>
      <c r="AO115" s="635"/>
      <c r="AP115" s="638" t="e">
        <f>$M115*CH4_Gehalt*CH4_nichtabgedeckt*(1+Faktor_CH4_flüssig)*GärrestFlüssigMenge/(GärrestFestMenge+GärrestFlüssigMenge)</f>
        <v>#N/A</v>
      </c>
      <c r="AQ115" s="640"/>
      <c r="AR115" s="640"/>
      <c r="AS115" s="642"/>
      <c r="AT115" s="642"/>
      <c r="AU115" s="642"/>
      <c r="AV115" s="642"/>
      <c r="AW115" s="643">
        <f>IF(F115&gt;0,G115/F115/1000,0)</f>
        <v>0</v>
      </c>
      <c r="AX115" s="690"/>
      <c r="AY115" s="691"/>
      <c r="AZ115" s="661"/>
      <c r="BA115" s="661"/>
      <c r="BB115" s="661"/>
      <c r="BC115" s="661"/>
      <c r="BD115" s="662">
        <f>$F115*1000</f>
        <v>0</v>
      </c>
      <c r="BE115" s="645" t="e">
        <f>M115/Gasertrag_berechnet</f>
        <v>#DIV/0!</v>
      </c>
      <c r="BF115" s="645" t="e">
        <f>AZ115/Belastung_Substrat</f>
        <v>#DIV/0!</v>
      </c>
      <c r="BG115" s="663"/>
      <c r="BH115" s="584"/>
      <c r="BI115" s="584"/>
      <c r="BJ115" s="584"/>
      <c r="BK115" s="584"/>
      <c r="BL115" s="584"/>
      <c r="BM115" s="584"/>
      <c r="BN115" s="584"/>
      <c r="BO115" s="584"/>
      <c r="BP115" s="584"/>
      <c r="BQ115" s="584"/>
      <c r="BR115" s="584"/>
      <c r="BS115" s="584"/>
      <c r="BT115" s="584"/>
      <c r="BU115" s="584"/>
    </row>
    <row r="116" spans="1:73" s="878" customFormat="1">
      <c r="A116" s="673"/>
      <c r="B116" s="673"/>
      <c r="C116" s="201"/>
      <c r="D116" s="625"/>
      <c r="E116" s="853"/>
      <c r="F116" s="853"/>
      <c r="G116" s="853"/>
      <c r="H116" s="853"/>
      <c r="I116" s="853"/>
      <c r="J116" s="853"/>
      <c r="K116" s="853"/>
      <c r="L116" s="853"/>
      <c r="M116" s="853"/>
      <c r="N116" s="853"/>
      <c r="O116" s="853"/>
      <c r="P116" s="853"/>
      <c r="Q116" s="853"/>
      <c r="R116" s="853"/>
      <c r="S116" s="1013"/>
      <c r="T116" s="1013"/>
      <c r="U116" s="1013"/>
      <c r="V116" s="1013"/>
      <c r="W116" s="1013"/>
      <c r="X116" s="668"/>
      <c r="Y116" s="629"/>
      <c r="Z116" s="668"/>
      <c r="AA116" s="668"/>
      <c r="AB116" s="654"/>
      <c r="AC116" s="631"/>
      <c r="AD116" s="666"/>
      <c r="AE116" s="667"/>
      <c r="AF116" s="667"/>
      <c r="AG116" s="629"/>
      <c r="AH116" s="668"/>
      <c r="AI116" s="668"/>
      <c r="AJ116" s="694"/>
      <c r="AK116" s="695"/>
      <c r="AL116" s="634"/>
      <c r="AM116" s="635"/>
      <c r="AN116" s="689"/>
      <c r="AO116" s="635"/>
      <c r="AP116" s="638"/>
      <c r="AQ116" s="640"/>
      <c r="AR116" s="640"/>
      <c r="AS116" s="642"/>
      <c r="AT116" s="642"/>
      <c r="AU116" s="642"/>
      <c r="AV116" s="642"/>
      <c r="AW116" s="643"/>
      <c r="AX116" s="690"/>
      <c r="AY116" s="691"/>
      <c r="AZ116" s="661"/>
      <c r="BA116" s="661"/>
      <c r="BB116" s="661"/>
      <c r="BC116" s="661"/>
      <c r="BD116" s="662"/>
      <c r="BE116" s="645"/>
      <c r="BF116" s="645"/>
      <c r="BG116" s="663"/>
      <c r="BH116" s="584"/>
      <c r="BI116" s="584"/>
      <c r="BJ116" s="584"/>
      <c r="BK116" s="584"/>
      <c r="BL116" s="584"/>
      <c r="BM116" s="584"/>
      <c r="BN116" s="584"/>
      <c r="BO116" s="584"/>
      <c r="BP116" s="584"/>
      <c r="BQ116" s="584"/>
      <c r="BR116" s="584"/>
      <c r="BS116" s="584"/>
      <c r="BT116" s="584"/>
      <c r="BU116" s="584"/>
    </row>
    <row r="117" spans="1:73" s="878" customFormat="1" ht="14.25">
      <c r="A117" s="940" t="s">
        <v>1662</v>
      </c>
      <c r="B117" s="940" t="s">
        <v>1104</v>
      </c>
      <c r="C117" s="939" t="s">
        <v>1663</v>
      </c>
      <c r="D117" s="653"/>
      <c r="E117" s="980" t="str">
        <f t="shared" si="165"/>
        <v>Chemicals</v>
      </c>
      <c r="F117" s="1017" t="s">
        <v>74</v>
      </c>
      <c r="G117" s="1017" t="e">
        <f>Währung&amp;"/a"</f>
        <v>#N/A</v>
      </c>
      <c r="H117" s="1017" t="s">
        <v>273</v>
      </c>
      <c r="I117" s="1017" t="s">
        <v>273</v>
      </c>
      <c r="J117" s="1017"/>
      <c r="K117" s="1017"/>
      <c r="L117" s="1017" t="s">
        <v>75</v>
      </c>
      <c r="M117" s="1017" t="s">
        <v>1683</v>
      </c>
      <c r="N117" s="1017"/>
      <c r="O117" s="1017"/>
      <c r="P117" s="1017"/>
      <c r="Q117" s="1017"/>
      <c r="R117" s="1017"/>
      <c r="S117" s="1019"/>
      <c r="T117" s="1020"/>
      <c r="U117" s="1020"/>
      <c r="V117" s="1020"/>
      <c r="W117" s="1020"/>
      <c r="X117" s="684"/>
      <c r="Y117" s="683"/>
      <c r="Z117" s="684"/>
      <c r="AA117" s="684"/>
      <c r="AB117" s="654"/>
      <c r="AC117" s="685"/>
      <c r="AD117" s="686"/>
      <c r="AE117" s="631"/>
      <c r="AF117" s="631"/>
      <c r="AG117" s="683"/>
      <c r="AH117" s="684"/>
      <c r="AI117" s="684"/>
      <c r="AJ117" s="684"/>
      <c r="AK117" s="687"/>
      <c r="AL117" s="684"/>
      <c r="AM117" s="688"/>
      <c r="AN117" s="689"/>
      <c r="AO117" s="688"/>
      <c r="AP117" s="684"/>
      <c r="AQ117" s="640"/>
      <c r="AR117" s="640"/>
      <c r="AS117" s="642"/>
      <c r="AT117" s="642"/>
      <c r="AU117" s="642"/>
      <c r="AV117" s="642"/>
      <c r="AW117" s="643"/>
      <c r="AX117" s="690"/>
      <c r="AY117" s="691"/>
      <c r="AZ117" s="661"/>
      <c r="BA117" s="661"/>
      <c r="BB117" s="661"/>
      <c r="BC117" s="661"/>
      <c r="BD117" s="662"/>
      <c r="BE117" s="645" t="e">
        <f t="shared" si="82"/>
        <v>#VALUE!</v>
      </c>
      <c r="BF117" s="645" t="e">
        <f t="shared" si="83"/>
        <v>#DIV/0!</v>
      </c>
      <c r="BG117" s="663"/>
      <c r="BH117" s="584"/>
      <c r="BI117" s="584"/>
      <c r="BJ117" s="584"/>
      <c r="BK117" s="584"/>
      <c r="BL117" s="584"/>
      <c r="BM117" s="584"/>
      <c r="BN117" s="584"/>
      <c r="BO117" s="584"/>
      <c r="BP117" s="584"/>
      <c r="BQ117" s="584"/>
      <c r="BR117" s="584"/>
      <c r="BS117" s="584"/>
      <c r="BT117" s="584"/>
      <c r="BU117" s="584"/>
    </row>
    <row r="118" spans="1:73" s="878" customFormat="1">
      <c r="A118" s="201" t="s">
        <v>1664</v>
      </c>
      <c r="B118" s="201" t="s">
        <v>2192</v>
      </c>
      <c r="C118" s="201" t="s">
        <v>1668</v>
      </c>
      <c r="D118" s="625"/>
      <c r="E118" s="819" t="str">
        <f t="shared" si="165"/>
        <v>Urea</v>
      </c>
      <c r="F118" s="795">
        <v>0</v>
      </c>
      <c r="G118" s="900"/>
      <c r="H118" s="906">
        <v>0</v>
      </c>
      <c r="I118" s="906">
        <v>0</v>
      </c>
      <c r="J118" s="898"/>
      <c r="K118" s="898"/>
      <c r="L118" s="885"/>
      <c r="M118" s="899"/>
      <c r="N118" s="899"/>
      <c r="O118" s="899"/>
      <c r="P118" s="899"/>
      <c r="Q118" s="899"/>
      <c r="R118" s="897" t="str">
        <f>IF(F118&gt;0,IF(G118/F118/1000&lt;AX118,INDEX(menuesBG!$1:$1048576,Warnung,sprache),""),"")</f>
        <v/>
      </c>
      <c r="S118" s="629"/>
      <c r="T118" s="628"/>
      <c r="U118" s="628"/>
      <c r="V118" s="629"/>
      <c r="W118" s="628"/>
      <c r="X118" s="628"/>
      <c r="Y118" s="627"/>
      <c r="Z118" s="627"/>
      <c r="AA118" s="627"/>
      <c r="AB118" s="654"/>
      <c r="AC118" s="631"/>
      <c r="AD118" s="657"/>
      <c r="AE118" s="633"/>
      <c r="AF118" s="633"/>
      <c r="AG118" s="629"/>
      <c r="AH118" s="668"/>
      <c r="AI118" s="668"/>
      <c r="AJ118" s="627"/>
      <c r="AK118" s="630"/>
      <c r="AL118" s="634"/>
      <c r="AM118" s="659"/>
      <c r="AN118" s="659"/>
      <c r="AO118" s="659"/>
      <c r="AP118" s="638"/>
      <c r="AQ118" s="639"/>
      <c r="AR118" s="640"/>
      <c r="AS118" s="641"/>
      <c r="AT118" s="642"/>
      <c r="AU118" s="642"/>
      <c r="AV118" s="642"/>
      <c r="AW118" s="643"/>
      <c r="AX118" s="643"/>
      <c r="AY118" s="696" t="s">
        <v>1649</v>
      </c>
      <c r="AZ118" s="692">
        <f>INDEX(SimaPro!$1:$1048576,AZ$1,MATCH(Substrates!$AY118,SimaPro!$1:$1,0))*$F118*1000</f>
        <v>0</v>
      </c>
      <c r="BA118" s="692">
        <f>INDEX(SimaPro!$1:$1048576,BA$1,MATCH(Substrates!$AY118,SimaPro!$1:$1,0))*$F118*1000</f>
        <v>0</v>
      </c>
      <c r="BB118" s="692">
        <f>INDEX(SimaPro!$1:$1048576,BB$1,MATCH(Substrates!$AY118,SimaPro!$1:$1,0))*$F118*1000</f>
        <v>0</v>
      </c>
      <c r="BC118" s="692">
        <f>INDEX(SimaPro!$1:$1048576,BC$1,MATCH(Substrates!$AY118,SimaPro!$1:$1,0))*$F118*1000</f>
        <v>0</v>
      </c>
      <c r="BD118" s="697">
        <f>$F118*1000*46.6%</f>
        <v>0</v>
      </c>
      <c r="BE118" s="645" t="e">
        <f t="shared" si="82"/>
        <v>#DIV/0!</v>
      </c>
      <c r="BF118" s="645" t="e">
        <f t="shared" si="83"/>
        <v>#DIV/0!</v>
      </c>
      <c r="BG118" s="663"/>
      <c r="BH118" s="584"/>
      <c r="BI118" s="584"/>
      <c r="BJ118" s="584"/>
      <c r="BK118" s="584"/>
      <c r="BL118" s="584"/>
      <c r="BM118" s="584"/>
      <c r="BN118" s="584"/>
      <c r="BO118" s="584"/>
      <c r="BP118" s="584"/>
      <c r="BQ118" s="584"/>
      <c r="BR118" s="584"/>
      <c r="BS118" s="584"/>
      <c r="BT118" s="584"/>
      <c r="BU118" s="584"/>
    </row>
    <row r="119" spans="1:73" s="878" customFormat="1">
      <c r="A119" s="201" t="s">
        <v>1665</v>
      </c>
      <c r="B119" s="201" t="s">
        <v>1665</v>
      </c>
      <c r="C119" s="201" t="s">
        <v>1669</v>
      </c>
      <c r="D119" s="625"/>
      <c r="E119" s="819" t="str">
        <f t="shared" si="165"/>
        <v>Sodium hydroxide</v>
      </c>
      <c r="F119" s="795">
        <v>0</v>
      </c>
      <c r="G119" s="900"/>
      <c r="H119" s="906">
        <v>0</v>
      </c>
      <c r="I119" s="906">
        <v>0</v>
      </c>
      <c r="K119" s="898"/>
      <c r="L119" s="885"/>
      <c r="M119" s="899"/>
      <c r="N119" s="899"/>
      <c r="O119" s="899"/>
      <c r="P119" s="899"/>
      <c r="Q119" s="899"/>
      <c r="R119" s="897" t="str">
        <f>IF(F119&gt;0,IF(G119/F119/1000&lt;AX119,INDEX(menuesBG!$1:$1048576,Warnung,sprache),""),"")</f>
        <v/>
      </c>
      <c r="S119" s="629"/>
      <c r="T119" s="628"/>
      <c r="U119" s="628"/>
      <c r="V119" s="629"/>
      <c r="W119" s="628"/>
      <c r="X119" s="628"/>
      <c r="Y119" s="627"/>
      <c r="Z119" s="627"/>
      <c r="AA119" s="627"/>
      <c r="AB119" s="654"/>
      <c r="AC119" s="631"/>
      <c r="AD119" s="657"/>
      <c r="AE119" s="633"/>
      <c r="AF119" s="633"/>
      <c r="AG119" s="629"/>
      <c r="AH119" s="668"/>
      <c r="AI119" s="668"/>
      <c r="AJ119" s="627"/>
      <c r="AK119" s="630"/>
      <c r="AL119" s="634"/>
      <c r="AM119" s="659"/>
      <c r="AN119" s="659"/>
      <c r="AO119" s="659"/>
      <c r="AP119" s="638"/>
      <c r="AQ119" s="639"/>
      <c r="AR119" s="640"/>
      <c r="AS119" s="641"/>
      <c r="AT119" s="642"/>
      <c r="AU119" s="642"/>
      <c r="AV119" s="642"/>
      <c r="AW119" s="643"/>
      <c r="AX119" s="643"/>
      <c r="AY119" s="696" t="s">
        <v>1650</v>
      </c>
      <c r="AZ119" s="692">
        <f>INDEX(SimaPro!$1:$1048576,AZ$1,MATCH(Substrates!$AY119,SimaPro!$1:$1,0))*$F119*1000</f>
        <v>0</v>
      </c>
      <c r="BA119" s="692">
        <f>INDEX(SimaPro!$1:$1048576,BA$1,MATCH(Substrates!$AY119,SimaPro!$1:$1,0))*$F119*1000</f>
        <v>0</v>
      </c>
      <c r="BB119" s="692">
        <f>INDEX(SimaPro!$1:$1048576,BB$1,MATCH(Substrates!$AY119,SimaPro!$1:$1,0))*$F119*1000</f>
        <v>0</v>
      </c>
      <c r="BC119" s="692">
        <f>INDEX(SimaPro!$1:$1048576,BC$1,MATCH(Substrates!$AY119,SimaPro!$1:$1,0))*$F119*1000</f>
        <v>0</v>
      </c>
      <c r="BD119" s="697">
        <f>$F119*1000*50%</f>
        <v>0</v>
      </c>
      <c r="BE119" s="645" t="e">
        <f t="shared" si="82"/>
        <v>#DIV/0!</v>
      </c>
      <c r="BF119" s="645" t="e">
        <f t="shared" si="83"/>
        <v>#DIV/0!</v>
      </c>
      <c r="BG119" s="663"/>
      <c r="BH119" s="584"/>
      <c r="BI119" s="584"/>
      <c r="BJ119" s="584"/>
      <c r="BK119" s="584"/>
      <c r="BL119" s="584"/>
      <c r="BM119" s="584"/>
      <c r="BN119" s="584"/>
      <c r="BO119" s="584"/>
      <c r="BP119" s="584"/>
      <c r="BQ119" s="584"/>
      <c r="BR119" s="584"/>
      <c r="BS119" s="584"/>
      <c r="BT119" s="584"/>
      <c r="BU119" s="584"/>
    </row>
    <row r="120" spans="1:73" s="878" customFormat="1">
      <c r="A120" s="933" t="s">
        <v>1666</v>
      </c>
      <c r="B120" s="201" t="s">
        <v>1673</v>
      </c>
      <c r="C120" s="201" t="s">
        <v>1670</v>
      </c>
      <c r="D120" s="625"/>
      <c r="E120" s="819" t="str">
        <f t="shared" si="165"/>
        <v>Hydrogen peroxide</v>
      </c>
      <c r="F120" s="795">
        <v>0</v>
      </c>
      <c r="G120" s="900"/>
      <c r="H120" s="906">
        <v>0</v>
      </c>
      <c r="I120" s="906">
        <v>0</v>
      </c>
      <c r="K120" s="898"/>
      <c r="L120" s="885"/>
      <c r="M120" s="899"/>
      <c r="N120" s="899"/>
      <c r="O120" s="899"/>
      <c r="P120" s="899"/>
      <c r="Q120" s="899"/>
      <c r="R120" s="897" t="str">
        <f>IF(F120&gt;0,IF(G120/F120/1000&lt;AX120,INDEX(menuesBG!$1:$1048576,Warnung,sprache),""),"")</f>
        <v/>
      </c>
      <c r="S120" s="629"/>
      <c r="T120" s="628"/>
      <c r="U120" s="628"/>
      <c r="V120" s="629"/>
      <c r="W120" s="628"/>
      <c r="X120" s="628"/>
      <c r="Y120" s="627"/>
      <c r="Z120" s="627"/>
      <c r="AA120" s="627"/>
      <c r="AB120" s="654"/>
      <c r="AC120" s="631"/>
      <c r="AD120" s="657"/>
      <c r="AE120" s="633"/>
      <c r="AF120" s="633"/>
      <c r="AG120" s="629"/>
      <c r="AH120" s="668"/>
      <c r="AI120" s="668"/>
      <c r="AJ120" s="627"/>
      <c r="AK120" s="630"/>
      <c r="AL120" s="634"/>
      <c r="AM120" s="659"/>
      <c r="AN120" s="659"/>
      <c r="AO120" s="659"/>
      <c r="AP120" s="638"/>
      <c r="AQ120" s="639"/>
      <c r="AR120" s="640"/>
      <c r="AS120" s="641"/>
      <c r="AT120" s="642"/>
      <c r="AU120" s="642"/>
      <c r="AV120" s="642"/>
      <c r="AW120" s="643"/>
      <c r="AX120" s="643"/>
      <c r="AY120" s="696" t="s">
        <v>1651</v>
      </c>
      <c r="AZ120" s="692">
        <f>INDEX(SimaPro!$1:$1048576,AZ$1,MATCH(Substrates!$AY120,SimaPro!$1:$1,0))*$F120*1000</f>
        <v>0</v>
      </c>
      <c r="BA120" s="692">
        <f>INDEX(SimaPro!$1:$1048576,BA$1,MATCH(Substrates!$AY120,SimaPro!$1:$1,0))*$F120*1000</f>
        <v>0</v>
      </c>
      <c r="BB120" s="692">
        <f>INDEX(SimaPro!$1:$1048576,BB$1,MATCH(Substrates!$AY120,SimaPro!$1:$1,0))*$F120*1000</f>
        <v>0</v>
      </c>
      <c r="BC120" s="692">
        <f>INDEX(SimaPro!$1:$1048576,BC$1,MATCH(Substrates!$AY120,SimaPro!$1:$1,0))*$F120*1000</f>
        <v>0</v>
      </c>
      <c r="BD120" s="697">
        <f>$F120*1000*35%</f>
        <v>0</v>
      </c>
      <c r="BE120" s="645" t="e">
        <f>M120/Gasertrag_berechnet</f>
        <v>#DIV/0!</v>
      </c>
      <c r="BF120" s="645" t="e">
        <f>AZ120/Belastung_Substrat</f>
        <v>#DIV/0!</v>
      </c>
      <c r="BG120" s="663"/>
      <c r="BH120" s="584"/>
      <c r="BI120" s="584"/>
      <c r="BJ120" s="584"/>
      <c r="BK120" s="584"/>
      <c r="BL120" s="584"/>
      <c r="BM120" s="584"/>
      <c r="BN120" s="584"/>
      <c r="BO120" s="584"/>
      <c r="BP120" s="584"/>
      <c r="BQ120" s="584"/>
      <c r="BR120" s="584"/>
      <c r="BS120" s="584"/>
      <c r="BT120" s="584"/>
      <c r="BU120" s="584"/>
    </row>
    <row r="121" spans="1:73" s="878" customFormat="1">
      <c r="A121" s="933" t="s">
        <v>1667</v>
      </c>
      <c r="B121" s="201" t="s">
        <v>1674</v>
      </c>
      <c r="C121" s="201" t="s">
        <v>1671</v>
      </c>
      <c r="D121" s="625"/>
      <c r="E121" s="819" t="str">
        <f t="shared" ref="E121" si="193">IF(sprache=1,A121,IF(sprache=2,B121,C121))</f>
        <v>Iron (III) chloride</v>
      </c>
      <c r="F121" s="795">
        <v>0</v>
      </c>
      <c r="G121" s="900"/>
      <c r="H121" s="906">
        <v>0</v>
      </c>
      <c r="I121" s="906">
        <v>0</v>
      </c>
      <c r="K121" s="898"/>
      <c r="L121" s="885"/>
      <c r="M121" s="899"/>
      <c r="N121" s="899"/>
      <c r="O121" s="899"/>
      <c r="P121" s="899"/>
      <c r="Q121" s="899"/>
      <c r="R121" s="897" t="str">
        <f>IF(F121&gt;0,IF(G121/F121/1000&lt;AX121,INDEX(menuesBG!$1:$1048576,Warnung,sprache),""),"")</f>
        <v/>
      </c>
      <c r="S121" s="629"/>
      <c r="T121" s="628"/>
      <c r="U121" s="628"/>
      <c r="V121" s="629"/>
      <c r="W121" s="628"/>
      <c r="X121" s="628"/>
      <c r="Y121" s="627"/>
      <c r="Z121" s="627"/>
      <c r="AA121" s="627"/>
      <c r="AB121" s="654"/>
      <c r="AC121" s="631"/>
      <c r="AD121" s="657"/>
      <c r="AE121" s="633"/>
      <c r="AF121" s="633"/>
      <c r="AG121" s="629"/>
      <c r="AH121" s="668"/>
      <c r="AI121" s="668"/>
      <c r="AJ121" s="627"/>
      <c r="AK121" s="630"/>
      <c r="AL121" s="634"/>
      <c r="AM121" s="659"/>
      <c r="AN121" s="659"/>
      <c r="AO121" s="659"/>
      <c r="AP121" s="638"/>
      <c r="AQ121" s="639"/>
      <c r="AR121" s="640"/>
      <c r="AS121" s="641"/>
      <c r="AT121" s="642"/>
      <c r="AU121" s="642"/>
      <c r="AV121" s="642"/>
      <c r="AW121" s="643"/>
      <c r="AX121" s="643"/>
      <c r="AY121" s="696" t="s">
        <v>1652</v>
      </c>
      <c r="AZ121" s="692">
        <f>INDEX(SimaPro!$1:$1048576,AZ$1,MATCH(Substrates!$AY121,SimaPro!$1:$1,0))*$F121*1000</f>
        <v>0</v>
      </c>
      <c r="BA121" s="692">
        <f>INDEX(SimaPro!$1:$1048576,BA$1,MATCH(Substrates!$AY121,SimaPro!$1:$1,0))*$F121*1000</f>
        <v>0</v>
      </c>
      <c r="BB121" s="692">
        <f>INDEX(SimaPro!$1:$1048576,BB$1,MATCH(Substrates!$AY121,SimaPro!$1:$1,0))*$F121*1000</f>
        <v>0</v>
      </c>
      <c r="BC121" s="692">
        <f>INDEX(SimaPro!$1:$1048576,BC$1,MATCH(Substrates!$AY121,SimaPro!$1:$1,0))*$F121*1000</f>
        <v>0</v>
      </c>
      <c r="BD121" s="697">
        <f>$F121*1000*40%</f>
        <v>0</v>
      </c>
      <c r="BE121" s="645" t="e">
        <f>M121/Gasertrag_berechnet</f>
        <v>#DIV/0!</v>
      </c>
      <c r="BF121" s="645" t="e">
        <f>AZ121/Belastung_Substrat</f>
        <v>#DIV/0!</v>
      </c>
      <c r="BG121" s="663"/>
      <c r="BH121" s="584"/>
      <c r="BI121" s="584"/>
      <c r="BJ121" s="584"/>
      <c r="BK121" s="584"/>
      <c r="BL121" s="584"/>
      <c r="BM121" s="584"/>
      <c r="BN121" s="584"/>
      <c r="BO121" s="584"/>
      <c r="BP121" s="584"/>
      <c r="BQ121" s="584"/>
      <c r="BR121" s="584"/>
      <c r="BS121" s="584"/>
      <c r="BT121" s="584"/>
      <c r="BU121" s="584"/>
    </row>
    <row r="122" spans="1:73" s="878" customFormat="1">
      <c r="A122" s="933"/>
      <c r="B122" s="201"/>
      <c r="C122" s="201"/>
      <c r="D122" s="625"/>
      <c r="E122" s="853"/>
      <c r="F122" s="853"/>
      <c r="G122" s="853"/>
      <c r="H122" s="853"/>
      <c r="I122" s="853"/>
      <c r="J122" s="853"/>
      <c r="K122" s="853"/>
      <c r="L122" s="853"/>
      <c r="M122" s="853"/>
      <c r="N122" s="853"/>
      <c r="O122" s="853"/>
      <c r="P122" s="853"/>
      <c r="Q122" s="853"/>
      <c r="R122" s="853"/>
      <c r="S122" s="629"/>
      <c r="T122" s="628"/>
      <c r="U122" s="628"/>
      <c r="V122" s="629"/>
      <c r="W122" s="628"/>
      <c r="X122" s="628"/>
      <c r="Y122" s="627"/>
      <c r="Z122" s="627"/>
      <c r="AA122" s="627"/>
      <c r="AB122" s="654"/>
      <c r="AC122" s="631"/>
      <c r="AD122" s="657"/>
      <c r="AE122" s="633"/>
      <c r="AF122" s="633"/>
      <c r="AG122" s="629"/>
      <c r="AH122" s="668"/>
      <c r="AI122" s="668"/>
      <c r="AJ122" s="627"/>
      <c r="AK122" s="630"/>
      <c r="AL122" s="634"/>
      <c r="AM122" s="659"/>
      <c r="AN122" s="659"/>
      <c r="AO122" s="659"/>
      <c r="AP122" s="638"/>
      <c r="AQ122" s="639"/>
      <c r="AR122" s="640"/>
      <c r="AS122" s="641"/>
      <c r="AT122" s="642"/>
      <c r="AU122" s="642"/>
      <c r="AV122" s="642"/>
      <c r="AW122" s="643"/>
      <c r="AX122" s="643"/>
      <c r="AY122" s="696"/>
      <c r="AZ122" s="692"/>
      <c r="BA122" s="692"/>
      <c r="BB122" s="692"/>
      <c r="BC122" s="692"/>
      <c r="BD122" s="697"/>
      <c r="BE122" s="645"/>
      <c r="BF122" s="645"/>
      <c r="BG122" s="663"/>
      <c r="BH122" s="584"/>
      <c r="BI122" s="584"/>
      <c r="BJ122" s="584"/>
      <c r="BK122" s="584"/>
      <c r="BL122" s="584"/>
      <c r="BM122" s="584"/>
      <c r="BN122" s="584"/>
      <c r="BO122" s="584"/>
      <c r="BP122" s="584"/>
      <c r="BQ122" s="584"/>
      <c r="BR122" s="584"/>
      <c r="BS122" s="584"/>
      <c r="BT122" s="584"/>
      <c r="BU122" s="584"/>
    </row>
    <row r="123" spans="1:73" s="878" customFormat="1">
      <c r="A123" s="940" t="s">
        <v>1657</v>
      </c>
      <c r="B123" s="673" t="s">
        <v>1658</v>
      </c>
      <c r="C123" s="939" t="s">
        <v>1659</v>
      </c>
      <c r="D123" s="625"/>
      <c r="E123" s="980" t="str">
        <f t="shared" ref="E123" si="194">IF(sprache=1,A123,IF(sprache=2,B123,C123))</f>
        <v>Industrial wastewater and substrates</v>
      </c>
      <c r="F123" s="1017"/>
      <c r="G123" s="1017"/>
      <c r="H123" s="1017"/>
      <c r="I123" s="1017"/>
      <c r="J123" s="1017"/>
      <c r="K123" s="1017"/>
      <c r="L123" s="1017"/>
      <c r="M123" s="1017"/>
      <c r="N123" s="1018"/>
      <c r="O123" s="1018"/>
      <c r="P123" s="1018"/>
      <c r="Q123" s="1018"/>
      <c r="R123" s="1018"/>
      <c r="S123" s="683"/>
      <c r="T123" s="684"/>
      <c r="U123" s="684"/>
      <c r="V123" s="683"/>
      <c r="W123" s="684"/>
      <c r="X123" s="684"/>
      <c r="Y123" s="683"/>
      <c r="Z123" s="684"/>
      <c r="AA123" s="684"/>
      <c r="AB123" s="654"/>
      <c r="AC123" s="685"/>
      <c r="AD123" s="686"/>
      <c r="AE123" s="631"/>
      <c r="AF123" s="631"/>
      <c r="AG123" s="683"/>
      <c r="AH123" s="684"/>
      <c r="AI123" s="684"/>
      <c r="AJ123" s="684"/>
      <c r="AK123" s="687"/>
      <c r="AL123" s="684"/>
      <c r="AM123" s="635"/>
      <c r="AN123" s="689"/>
      <c r="AO123" s="635"/>
      <c r="AP123" s="684"/>
      <c r="AQ123" s="640"/>
      <c r="AR123" s="640"/>
      <c r="AS123" s="642"/>
      <c r="AT123" s="642"/>
      <c r="AU123" s="642"/>
      <c r="AV123" s="642"/>
      <c r="AW123" s="643"/>
      <c r="AX123" s="690"/>
      <c r="AY123" s="691"/>
      <c r="AZ123" s="661"/>
      <c r="BA123" s="661"/>
      <c r="BB123" s="661"/>
      <c r="BC123" s="661"/>
      <c r="BD123" s="662">
        <f t="shared" ref="BD123" si="195">$F123*1000</f>
        <v>0</v>
      </c>
      <c r="BE123" s="645" t="e">
        <f t="shared" ref="BE123" si="196">M123/Gasertrag_berechnet</f>
        <v>#DIV/0!</v>
      </c>
      <c r="BF123" s="645" t="e">
        <f t="shared" ref="BF123" si="197">AZ123/Belastung_Substrat</f>
        <v>#DIV/0!</v>
      </c>
      <c r="BG123" s="663"/>
      <c r="BH123" s="584"/>
      <c r="BI123" s="584"/>
      <c r="BJ123" s="584"/>
      <c r="BK123" s="584"/>
      <c r="BL123" s="584"/>
      <c r="BM123" s="584"/>
      <c r="BN123" s="584"/>
      <c r="BO123" s="584"/>
      <c r="BP123" s="584"/>
      <c r="BQ123" s="584"/>
      <c r="BR123" s="584"/>
      <c r="BS123" s="584"/>
      <c r="BT123" s="584"/>
      <c r="BU123" s="584"/>
    </row>
    <row r="124" spans="1:73" s="878" customFormat="1">
      <c r="A124" s="673" t="s">
        <v>1644</v>
      </c>
      <c r="B124" s="673" t="s">
        <v>1645</v>
      </c>
      <c r="C124" s="201" t="s">
        <v>1646</v>
      </c>
      <c r="D124" s="625"/>
      <c r="E124" s="819" t="str">
        <f>IF(sprache=1,A124,IF(sprache=2,B124,C124))</f>
        <v>Effluent, paper mill</v>
      </c>
      <c r="F124" s="796">
        <v>0</v>
      </c>
      <c r="G124" s="797">
        <v>0</v>
      </c>
      <c r="H124" s="906">
        <v>0</v>
      </c>
      <c r="I124" s="906">
        <v>0</v>
      </c>
      <c r="J124" s="897" t="str">
        <f>IF(F124&gt;0,IF(G124/F124/1000&lt;AX124,INDEX(menuesBG!$1:$1048576,Warnung,sprache),""),"")</f>
        <v/>
      </c>
      <c r="K124" s="898"/>
      <c r="L124" s="885">
        <f>F124*S124*V124/10</f>
        <v>0</v>
      </c>
      <c r="M124" s="899">
        <f>F124*S124*V124/10000*AG124</f>
        <v>0</v>
      </c>
      <c r="N124" s="899"/>
      <c r="O124" s="899"/>
      <c r="P124" s="899"/>
      <c r="Q124" s="899"/>
      <c r="R124" s="899"/>
      <c r="S124" s="698">
        <v>0.45340000000000003</v>
      </c>
      <c r="T124" s="628"/>
      <c r="U124" s="628"/>
      <c r="V124" s="698">
        <f>1.075*69.7</f>
        <v>74.927499999999995</v>
      </c>
      <c r="W124" s="628"/>
      <c r="X124" s="628"/>
      <c r="Y124" s="629">
        <f>(Z124+AA124)/2</f>
        <v>6.8372298191442429E-2</v>
      </c>
      <c r="Z124" s="693">
        <f>3.1/1000/(S124/100*1000)*100</f>
        <v>6.8372298191442429E-2</v>
      </c>
      <c r="AA124" s="693">
        <f>Z124</f>
        <v>6.8372298191442429E-2</v>
      </c>
      <c r="AB124" s="699">
        <v>100</v>
      </c>
      <c r="AC124" s="631">
        <f>AD124*Y124</f>
        <v>9.4838994265549162E-2</v>
      </c>
      <c r="AD124" s="700">
        <f>4.3/3.1</f>
        <v>1.3870967741935483</v>
      </c>
      <c r="AE124" s="667"/>
      <c r="AF124" s="667"/>
      <c r="AG124" s="698">
        <v>676</v>
      </c>
      <c r="AH124" s="694">
        <v>650</v>
      </c>
      <c r="AI124" s="694">
        <v>700</v>
      </c>
      <c r="AJ124" s="698">
        <v>67</v>
      </c>
      <c r="AK124" s="695">
        <f>AJ124*$AG124/100</f>
        <v>452.92</v>
      </c>
      <c r="AL124" s="634"/>
      <c r="AM124" s="635"/>
      <c r="AN124" s="689"/>
      <c r="AO124" s="635"/>
      <c r="AP124" s="638">
        <v>0</v>
      </c>
      <c r="AQ124" s="640"/>
      <c r="AR124" s="640"/>
      <c r="AS124" s="642"/>
      <c r="AT124" s="642"/>
      <c r="AU124" s="642"/>
      <c r="AV124" s="642"/>
      <c r="AW124" s="643">
        <f>IF(F124&gt;0,G124/F124/1000,0)</f>
        <v>0</v>
      </c>
      <c r="AX124" s="690"/>
      <c r="AY124" s="691"/>
      <c r="AZ124" s="661"/>
      <c r="BA124" s="661"/>
      <c r="BB124" s="661"/>
      <c r="BC124" s="661"/>
      <c r="BD124" s="662">
        <f>$F124*1000</f>
        <v>0</v>
      </c>
      <c r="BE124" s="645" t="e">
        <f>M124/Gasertrag_berechnet</f>
        <v>#DIV/0!</v>
      </c>
      <c r="BF124" s="645" t="e">
        <f>AZ124/Belastung_Substrat</f>
        <v>#DIV/0!</v>
      </c>
      <c r="BG124" s="663"/>
      <c r="BH124" s="584"/>
      <c r="BI124" s="584"/>
      <c r="BJ124" s="584"/>
      <c r="BK124" s="584"/>
      <c r="BL124" s="584"/>
      <c r="BM124" s="584"/>
      <c r="BN124" s="584"/>
      <c r="BO124" s="584"/>
      <c r="BP124" s="584"/>
      <c r="BQ124" s="584"/>
      <c r="BR124" s="584"/>
      <c r="BS124" s="584"/>
      <c r="BT124" s="584"/>
      <c r="BU124" s="584"/>
    </row>
    <row r="125" spans="1:73" s="878" customFormat="1">
      <c r="A125" s="673"/>
      <c r="B125" s="673"/>
      <c r="C125" s="201"/>
      <c r="D125" s="625"/>
      <c r="E125" s="853"/>
      <c r="F125" s="853"/>
      <c r="G125" s="853"/>
      <c r="H125" s="853"/>
      <c r="I125" s="853"/>
      <c r="J125" s="853"/>
      <c r="K125" s="853"/>
      <c r="L125" s="853"/>
      <c r="M125" s="853"/>
      <c r="N125" s="853"/>
      <c r="O125" s="853"/>
      <c r="P125" s="853"/>
      <c r="Q125" s="853"/>
      <c r="R125" s="853"/>
      <c r="S125" s="698"/>
      <c r="T125" s="628"/>
      <c r="U125" s="628"/>
      <c r="V125" s="698"/>
      <c r="W125" s="628"/>
      <c r="X125" s="628"/>
      <c r="Y125" s="629"/>
      <c r="Z125" s="693"/>
      <c r="AA125" s="693"/>
      <c r="AB125" s="699"/>
      <c r="AC125" s="631"/>
      <c r="AD125" s="700"/>
      <c r="AE125" s="667"/>
      <c r="AF125" s="667"/>
      <c r="AG125" s="698"/>
      <c r="AH125" s="694"/>
      <c r="AI125" s="694"/>
      <c r="AJ125" s="698"/>
      <c r="AK125" s="695"/>
      <c r="AL125" s="634"/>
      <c r="AM125" s="635"/>
      <c r="AN125" s="689"/>
      <c r="AO125" s="635"/>
      <c r="AP125" s="638"/>
      <c r="AQ125" s="640"/>
      <c r="AR125" s="640"/>
      <c r="AS125" s="642"/>
      <c r="AT125" s="642"/>
      <c r="AU125" s="642"/>
      <c r="AV125" s="642"/>
      <c r="AW125" s="643"/>
      <c r="AX125" s="690"/>
      <c r="AY125" s="691"/>
      <c r="AZ125" s="661"/>
      <c r="BA125" s="661"/>
      <c r="BB125" s="661"/>
      <c r="BC125" s="661"/>
      <c r="BD125" s="662"/>
      <c r="BE125" s="645"/>
      <c r="BF125" s="645"/>
      <c r="BG125" s="663"/>
      <c r="BH125" s="584"/>
      <c r="BI125" s="584"/>
      <c r="BJ125" s="584"/>
      <c r="BK125" s="584"/>
      <c r="BL125" s="584"/>
      <c r="BM125" s="584"/>
      <c r="BN125" s="584"/>
      <c r="BO125" s="584"/>
      <c r="BP125" s="584"/>
      <c r="BQ125" s="584"/>
      <c r="BR125" s="584"/>
      <c r="BS125" s="584"/>
      <c r="BT125" s="584"/>
      <c r="BU125" s="584"/>
    </row>
    <row r="126" spans="1:73" s="878" customFormat="1" ht="15.75">
      <c r="A126" s="673" t="s">
        <v>35</v>
      </c>
      <c r="B126" s="673" t="s">
        <v>35</v>
      </c>
      <c r="C126" s="673" t="s">
        <v>35</v>
      </c>
      <c r="D126" s="602"/>
      <c r="E126" s="973" t="str">
        <f t="shared" si="165"/>
        <v>Total</v>
      </c>
      <c r="F126" s="791">
        <f>SUM(F8:F124)</f>
        <v>0</v>
      </c>
      <c r="G126" s="1012" t="e">
        <f>SUM(G8:G124)</f>
        <v>#N/A</v>
      </c>
      <c r="H126" s="792"/>
      <c r="I126" s="792"/>
      <c r="J126" s="792"/>
      <c r="K126" s="792"/>
      <c r="L126" s="793">
        <f>SUM(L8:L124)</f>
        <v>0</v>
      </c>
      <c r="M126" s="794">
        <f>SUM(M8:M124)</f>
        <v>0</v>
      </c>
      <c r="N126" s="794"/>
      <c r="O126" s="794"/>
      <c r="P126" s="794"/>
      <c r="Q126" s="794"/>
      <c r="R126" s="794"/>
      <c r="S126" s="701"/>
      <c r="T126" s="702"/>
      <c r="U126" s="702"/>
      <c r="V126" s="701"/>
      <c r="W126" s="702"/>
      <c r="X126" s="702"/>
      <c r="Y126" s="701"/>
      <c r="Z126" s="702"/>
      <c r="AA126" s="702"/>
      <c r="AB126" s="701"/>
      <c r="AC126" s="703"/>
      <c r="AD126" s="704"/>
      <c r="AE126" s="705"/>
      <c r="AF126" s="705"/>
      <c r="AG126" s="701"/>
      <c r="AH126" s="702"/>
      <c r="AI126" s="702"/>
      <c r="AJ126" s="702"/>
      <c r="AK126" s="702"/>
      <c r="AL126" s="706"/>
      <c r="AM126" s="707">
        <f>SUM(AM8:AM124)</f>
        <v>0</v>
      </c>
      <c r="AN126" s="707">
        <f>SUM(AN8:AN124)</f>
        <v>0</v>
      </c>
      <c r="AO126" s="707">
        <f>SUM(AO8:AO124)</f>
        <v>0</v>
      </c>
      <c r="AP126" s="706" t="e">
        <f>SUM(AP8:AP124)+AP137</f>
        <v>#N/A</v>
      </c>
      <c r="AQ126" s="706" t="e">
        <f t="shared" ref="AQ126:AV126" si="198">SUM(AQ8:AQ124)</f>
        <v>#N/A</v>
      </c>
      <c r="AR126" s="706" t="e">
        <f t="shared" si="198"/>
        <v>#N/A</v>
      </c>
      <c r="AS126" s="706" t="e">
        <f t="shared" si="198"/>
        <v>#DIV/0!</v>
      </c>
      <c r="AT126" s="706" t="e">
        <f t="shared" si="198"/>
        <v>#N/A</v>
      </c>
      <c r="AU126" s="706" t="e">
        <f t="shared" si="198"/>
        <v>#N/A</v>
      </c>
      <c r="AV126" s="706" t="e">
        <f t="shared" si="198"/>
        <v>#N/A</v>
      </c>
      <c r="AW126" s="706"/>
      <c r="AX126" s="706"/>
      <c r="AY126" s="706"/>
      <c r="AZ126" s="708">
        <f>SUM(AZ8:AZ124)</f>
        <v>0</v>
      </c>
      <c r="BA126" s="708">
        <f>SUM(BA8:BA124)</f>
        <v>0</v>
      </c>
      <c r="BB126" s="708">
        <f>SUM(BB8:BB124)</f>
        <v>0</v>
      </c>
      <c r="BC126" s="708">
        <f>SUM(BC8:BC124)</f>
        <v>0</v>
      </c>
      <c r="BD126" s="645"/>
      <c r="BE126" s="645" t="e">
        <f t="shared" si="82"/>
        <v>#DIV/0!</v>
      </c>
      <c r="BF126" s="645" t="e">
        <f t="shared" si="83"/>
        <v>#DIV/0!</v>
      </c>
      <c r="BG126" s="663"/>
      <c r="BH126" s="584"/>
      <c r="BI126" s="584"/>
      <c r="BJ126" s="584"/>
      <c r="BK126" s="584"/>
      <c r="BL126" s="584"/>
      <c r="BM126" s="584"/>
      <c r="BN126" s="584"/>
      <c r="BO126" s="584"/>
      <c r="BP126" s="584"/>
      <c r="BQ126" s="584"/>
      <c r="BR126" s="584"/>
      <c r="BS126" s="584"/>
      <c r="BT126" s="584"/>
      <c r="BU126" s="584"/>
    </row>
    <row r="127" spans="1:73" s="878" customFormat="1">
      <c r="A127" s="673"/>
      <c r="B127" s="673"/>
      <c r="C127" s="673"/>
      <c r="D127" s="602"/>
      <c r="E127" s="853"/>
      <c r="F127" s="853"/>
      <c r="G127" s="853"/>
      <c r="H127" s="853"/>
      <c r="I127" s="853"/>
      <c r="J127" s="853"/>
      <c r="K127" s="853"/>
      <c r="L127" s="853"/>
      <c r="M127" s="853"/>
      <c r="N127" s="853"/>
      <c r="O127" s="853"/>
      <c r="P127" s="853"/>
      <c r="Q127" s="853"/>
      <c r="R127" s="853"/>
      <c r="S127" s="710"/>
      <c r="T127" s="712"/>
      <c r="U127" s="712"/>
      <c r="V127" s="710"/>
      <c r="W127" s="712"/>
      <c r="X127" s="712"/>
      <c r="Y127" s="710"/>
      <c r="Z127" s="712"/>
      <c r="AA127" s="712"/>
      <c r="AB127" s="710"/>
      <c r="AC127" s="711"/>
      <c r="AD127" s="788"/>
      <c r="AE127" s="789"/>
      <c r="AF127" s="789"/>
      <c r="AG127" s="710"/>
      <c r="AH127" s="712"/>
      <c r="AI127" s="712"/>
      <c r="AJ127" s="712"/>
      <c r="AK127" s="712"/>
      <c r="AL127" s="713"/>
      <c r="AM127" s="790"/>
      <c r="AN127" s="790"/>
      <c r="AO127" s="790"/>
      <c r="AP127" s="713"/>
      <c r="AQ127" s="713"/>
      <c r="AR127" s="706"/>
      <c r="AS127" s="713"/>
      <c r="AT127" s="713"/>
      <c r="AU127" s="713"/>
      <c r="AV127" s="713"/>
      <c r="AW127" s="713"/>
      <c r="AX127" s="713"/>
      <c r="AY127" s="713"/>
      <c r="AZ127" s="716"/>
      <c r="BA127" s="716"/>
      <c r="BB127" s="716"/>
      <c r="BC127" s="716"/>
      <c r="BD127" s="645"/>
      <c r="BE127" s="645"/>
      <c r="BF127" s="645"/>
      <c r="BG127" s="663"/>
      <c r="BH127" s="584"/>
      <c r="BI127" s="584"/>
      <c r="BJ127" s="584"/>
      <c r="BK127" s="584"/>
      <c r="BL127" s="584"/>
      <c r="BM127" s="584"/>
      <c r="BN127" s="584"/>
      <c r="BO127" s="584"/>
      <c r="BP127" s="584"/>
      <c r="BQ127" s="584"/>
      <c r="BR127" s="584"/>
      <c r="BS127" s="584"/>
      <c r="BT127" s="584"/>
      <c r="BU127" s="584"/>
    </row>
    <row r="128" spans="1:73" s="878" customFormat="1">
      <c r="A128" s="673" t="s">
        <v>1965</v>
      </c>
      <c r="B128" s="673" t="s">
        <v>2198</v>
      </c>
      <c r="C128" s="673" t="s">
        <v>2208</v>
      </c>
      <c r="D128" s="602"/>
      <c r="E128" s="819" t="str">
        <f t="shared" ref="E128:E134" si="199">IF(sprache=1,A128,IF(sprache=2,B128,C128))</f>
        <v>Tonne-kilometres transport, tractor</v>
      </c>
      <c r="F128" s="845">
        <f>SUMPRODUCT(H8:H124,$F8:$F124)</f>
        <v>0</v>
      </c>
      <c r="G128" s="853"/>
      <c r="I128" s="845"/>
      <c r="J128" s="853"/>
      <c r="K128" s="853"/>
      <c r="L128" s="853"/>
      <c r="M128" s="853"/>
      <c r="N128" s="853"/>
      <c r="O128" s="853"/>
      <c r="P128" s="853"/>
      <c r="Q128" s="853"/>
      <c r="R128" s="853"/>
      <c r="S128" s="710"/>
      <c r="T128" s="712"/>
      <c r="U128" s="712"/>
      <c r="V128" s="710"/>
      <c r="W128" s="712"/>
      <c r="X128" s="712"/>
      <c r="Y128" s="710"/>
      <c r="Z128" s="712"/>
      <c r="AA128" s="712"/>
      <c r="AB128" s="710"/>
      <c r="AC128" s="711"/>
      <c r="AD128" s="788"/>
      <c r="AE128" s="789"/>
      <c r="AF128" s="789"/>
      <c r="AG128" s="710"/>
      <c r="AH128" s="712"/>
      <c r="AI128" s="712"/>
      <c r="AJ128" s="712"/>
      <c r="AK128" s="712"/>
      <c r="AL128" s="713"/>
      <c r="AM128" s="790"/>
      <c r="AN128" s="790"/>
      <c r="AO128" s="790"/>
      <c r="AP128" s="713"/>
      <c r="AQ128" s="713"/>
      <c r="AR128" s="713"/>
      <c r="AS128" s="713"/>
      <c r="AT128" s="713"/>
      <c r="AU128" s="713"/>
      <c r="AV128" s="713"/>
      <c r="AW128" s="713"/>
      <c r="AX128" s="713"/>
      <c r="AY128" s="917" t="s">
        <v>295</v>
      </c>
      <c r="AZ128" s="918">
        <f>INDEX(SimaPro!$1:$1048576,AZ$1,MATCH(Substrates!$AY128,SimaPro!$1:$1,0))*$F128</f>
        <v>0</v>
      </c>
      <c r="BA128" s="918">
        <f>INDEX(SimaPro!$1:$1048576,BA$1,MATCH(Substrates!$AY128,SimaPro!$1:$1,0))*$F128</f>
        <v>0</v>
      </c>
      <c r="BB128" s="918">
        <f>INDEX(SimaPro!$1:$1048576,BB$1,MATCH(Substrates!$AY128,SimaPro!$1:$1,0))*$F128</f>
        <v>0</v>
      </c>
      <c r="BC128" s="918">
        <f>INDEX(SimaPro!$1:$1048576,BC$1,MATCH(Substrates!$AY128,SimaPro!$1:$1,0))*$F128</f>
        <v>0</v>
      </c>
      <c r="BD128" s="645"/>
      <c r="BE128" s="645"/>
      <c r="BF128" s="645"/>
      <c r="BG128" s="663"/>
      <c r="BH128" s="584"/>
      <c r="BI128" s="584"/>
      <c r="BJ128" s="584"/>
      <c r="BK128" s="584"/>
      <c r="BL128" s="584"/>
      <c r="BM128" s="584"/>
      <c r="BN128" s="584"/>
      <c r="BO128" s="584"/>
      <c r="BP128" s="584"/>
      <c r="BQ128" s="584"/>
      <c r="BR128" s="584"/>
      <c r="BS128" s="584"/>
      <c r="BT128" s="584"/>
      <c r="BU128" s="584"/>
    </row>
    <row r="129" spans="1:73" s="878" customFormat="1">
      <c r="A129" s="673" t="s">
        <v>1966</v>
      </c>
      <c r="B129" s="673" t="s">
        <v>2199</v>
      </c>
      <c r="C129" s="673" t="s">
        <v>2209</v>
      </c>
      <c r="D129" s="602"/>
      <c r="E129" s="819" t="str">
        <f t="shared" si="199"/>
        <v>Tonne-kilometres transport, truck</v>
      </c>
      <c r="F129" s="845">
        <f>SUMPRODUCT(I8:I124,$F8:$F124)</f>
        <v>0</v>
      </c>
      <c r="G129" s="853"/>
      <c r="H129" s="845"/>
      <c r="J129" s="853"/>
      <c r="K129" s="853"/>
      <c r="L129" s="853"/>
      <c r="M129" s="853"/>
      <c r="N129" s="853"/>
      <c r="O129" s="853"/>
      <c r="P129" s="853"/>
      <c r="Q129" s="853"/>
      <c r="R129" s="853"/>
      <c r="S129" s="710"/>
      <c r="T129" s="712"/>
      <c r="U129" s="712"/>
      <c r="V129" s="710"/>
      <c r="W129" s="712"/>
      <c r="X129" s="712"/>
      <c r="Y129" s="710"/>
      <c r="Z129" s="712"/>
      <c r="AA129" s="712"/>
      <c r="AB129" s="710"/>
      <c r="AC129" s="711"/>
      <c r="AD129" s="788"/>
      <c r="AE129" s="789"/>
      <c r="AF129" s="789"/>
      <c r="AG129" s="710"/>
      <c r="AH129" s="712"/>
      <c r="AI129" s="712"/>
      <c r="AJ129" s="712"/>
      <c r="AK129" s="712"/>
      <c r="AL129" s="713"/>
      <c r="AM129" s="790"/>
      <c r="AN129" s="790"/>
      <c r="AO129" s="790"/>
      <c r="AP129" s="713"/>
      <c r="AQ129" s="713"/>
      <c r="AR129" s="713"/>
      <c r="AS129" s="713"/>
      <c r="AT129" s="713"/>
      <c r="AU129" s="713"/>
      <c r="AV129" s="713"/>
      <c r="AW129" s="713"/>
      <c r="AX129" s="713"/>
      <c r="AY129" s="919" t="s">
        <v>1964</v>
      </c>
      <c r="AZ129" s="918">
        <f>INDEX(SimaPro!$1:$1048576,AZ$1,MATCH(Substrates!$AY129,SimaPro!$1:$1,0))*$F129</f>
        <v>0</v>
      </c>
      <c r="BA129" s="918">
        <f>INDEX(SimaPro!$1:$1048576,BA$1,MATCH(Substrates!$AY129,SimaPro!$1:$1,0))*$F129</f>
        <v>0</v>
      </c>
      <c r="BB129" s="918">
        <f>INDEX(SimaPro!$1:$1048576,BB$1,MATCH(Substrates!$AY129,SimaPro!$1:$1,0))*$F129</f>
        <v>0</v>
      </c>
      <c r="BC129" s="918">
        <f>INDEX(SimaPro!$1:$1048576,BC$1,MATCH(Substrates!$AY129,SimaPro!$1:$1,0))*$F129</f>
        <v>0</v>
      </c>
      <c r="BD129" s="645"/>
      <c r="BE129" s="645"/>
      <c r="BF129" s="645"/>
      <c r="BG129" s="663"/>
      <c r="BH129" s="584"/>
      <c r="BI129" s="584"/>
      <c r="BJ129" s="584"/>
      <c r="BK129" s="584"/>
      <c r="BL129" s="584"/>
      <c r="BM129" s="584"/>
      <c r="BN129" s="584"/>
      <c r="BO129" s="584"/>
      <c r="BP129" s="584"/>
      <c r="BQ129" s="584"/>
      <c r="BR129" s="584"/>
      <c r="BS129" s="584"/>
      <c r="BT129" s="584"/>
      <c r="BU129" s="584"/>
    </row>
    <row r="130" spans="1:73" s="878" customFormat="1">
      <c r="A130" s="673" t="s">
        <v>1967</v>
      </c>
      <c r="B130" s="673" t="s">
        <v>2200</v>
      </c>
      <c r="C130" s="673" t="s">
        <v>2210</v>
      </c>
      <c r="D130" s="815"/>
      <c r="E130" s="819" t="str">
        <f t="shared" si="199"/>
        <v>Tonne-kilometres transport, total</v>
      </c>
      <c r="F130" s="845">
        <f>tkm_lkw+tkm_traktor</f>
        <v>0</v>
      </c>
      <c r="G130" s="846"/>
      <c r="H130" s="853"/>
      <c r="I130" s="853"/>
      <c r="J130" s="853"/>
      <c r="K130" s="853"/>
      <c r="L130" s="853"/>
      <c r="M130" s="853"/>
      <c r="N130" s="853"/>
      <c r="O130" s="853"/>
      <c r="P130" s="853"/>
      <c r="Q130" s="853"/>
      <c r="R130" s="853"/>
      <c r="S130" s="1013"/>
      <c r="T130" s="1013"/>
      <c r="U130" s="1013"/>
      <c r="V130" s="1013"/>
      <c r="W130" s="1013"/>
      <c r="X130" s="1013"/>
      <c r="Y130" s="1013"/>
      <c r="Z130" s="1013"/>
      <c r="AA130" s="1013"/>
      <c r="AB130" s="1013"/>
      <c r="AC130" s="1013"/>
      <c r="AD130" s="1013"/>
      <c r="AE130" s="1013"/>
      <c r="AF130" s="1013"/>
      <c r="AG130" s="1013"/>
      <c r="AH130" s="1013"/>
      <c r="AI130" s="1013"/>
      <c r="AJ130" s="1013"/>
      <c r="AK130" s="1013"/>
      <c r="AL130" s="1013"/>
      <c r="AM130" s="790"/>
      <c r="AN130" s="713"/>
      <c r="AO130" s="713"/>
      <c r="AP130" s="706"/>
      <c r="AQ130" s="713"/>
      <c r="AR130" s="713"/>
      <c r="AS130" s="713"/>
      <c r="AT130" s="713"/>
      <c r="AU130" s="713"/>
      <c r="AV130" s="713"/>
      <c r="AW130" s="713"/>
      <c r="AX130" s="716"/>
      <c r="AY130" s="716"/>
      <c r="AZ130" s="716"/>
      <c r="BA130" s="716"/>
      <c r="BB130" s="645"/>
      <c r="BC130" s="645"/>
      <c r="BD130" s="645"/>
      <c r="BE130" s="663"/>
      <c r="BF130" s="584"/>
      <c r="BG130" s="584"/>
      <c r="BH130" s="584"/>
      <c r="BI130" s="584"/>
      <c r="BJ130" s="584"/>
      <c r="BK130" s="584"/>
      <c r="BL130" s="584"/>
      <c r="BM130" s="584"/>
      <c r="BN130" s="584"/>
      <c r="BO130" s="584"/>
      <c r="BP130" s="584"/>
      <c r="BQ130" s="584"/>
      <c r="BR130" s="584"/>
      <c r="BS130" s="584"/>
      <c r="BT130" s="584"/>
      <c r="BU130" s="584"/>
    </row>
    <row r="131" spans="1:73" s="878" customFormat="1">
      <c r="A131" s="1014" t="s">
        <v>1891</v>
      </c>
      <c r="B131" s="673" t="s">
        <v>2201</v>
      </c>
      <c r="C131" s="673" t="s">
        <v>2211</v>
      </c>
      <c r="D131" s="815"/>
      <c r="E131" s="819" t="str">
        <f t="shared" si="199"/>
        <v>Substrate disposal revenue</v>
      </c>
      <c r="F131" s="1015">
        <f>SUMIF(Substrates!G25:G90,"&gt;0",Substrates!G25:G90)</f>
        <v>0</v>
      </c>
      <c r="G131" s="846"/>
      <c r="H131" s="853"/>
      <c r="I131" s="853"/>
      <c r="J131" s="853"/>
      <c r="K131" s="853"/>
      <c r="L131" s="853"/>
      <c r="M131" s="853"/>
      <c r="N131" s="853"/>
      <c r="O131" s="853"/>
      <c r="P131" s="853"/>
      <c r="Q131" s="853"/>
      <c r="R131" s="853"/>
      <c r="S131" s="1013"/>
      <c r="T131" s="1013"/>
      <c r="U131" s="1013"/>
      <c r="V131" s="1013"/>
      <c r="W131" s="1013"/>
      <c r="X131" s="1013"/>
      <c r="Y131" s="1013"/>
      <c r="Z131" s="1013"/>
      <c r="AA131" s="1013"/>
      <c r="AB131" s="1013"/>
      <c r="AC131" s="1013"/>
      <c r="AD131" s="1013"/>
      <c r="AE131" s="1013"/>
      <c r="AF131" s="1013"/>
      <c r="AG131" s="1013"/>
      <c r="AH131" s="1013"/>
      <c r="AI131" s="1013"/>
      <c r="AJ131" s="1013"/>
      <c r="AK131" s="1013"/>
      <c r="AL131" s="1013"/>
      <c r="AM131" s="790"/>
      <c r="AN131" s="713"/>
      <c r="AO131" s="713"/>
      <c r="AP131" s="706"/>
      <c r="AQ131" s="713"/>
      <c r="AR131" s="713"/>
      <c r="AS131" s="713"/>
      <c r="AT131" s="713"/>
      <c r="AU131" s="713"/>
      <c r="AV131" s="713"/>
      <c r="AW131" s="713"/>
      <c r="AX131" s="716"/>
      <c r="AY131" s="716"/>
      <c r="AZ131" s="716"/>
      <c r="BA131" s="716"/>
      <c r="BB131" s="645"/>
      <c r="BC131" s="645"/>
      <c r="BD131" s="645"/>
      <c r="BE131" s="663"/>
      <c r="BF131" s="584"/>
      <c r="BG131" s="584"/>
      <c r="BH131" s="584"/>
      <c r="BI131" s="584"/>
      <c r="BJ131" s="584"/>
      <c r="BK131" s="584"/>
      <c r="BL131" s="584"/>
      <c r="BM131" s="584"/>
      <c r="BN131" s="584"/>
      <c r="BO131" s="584"/>
      <c r="BP131" s="584"/>
      <c r="BQ131" s="584"/>
      <c r="BR131" s="584"/>
      <c r="BS131" s="584"/>
      <c r="BT131" s="584"/>
      <c r="BU131" s="584"/>
    </row>
    <row r="132" spans="1:73" s="878" customFormat="1">
      <c r="A132" s="1014" t="s">
        <v>1888</v>
      </c>
      <c r="B132" s="673" t="s">
        <v>2202</v>
      </c>
      <c r="C132" s="673" t="s">
        <v>2212</v>
      </c>
      <c r="D132" s="815"/>
      <c r="E132" s="819" t="str">
        <f t="shared" si="199"/>
        <v>Expenditure on substrates</v>
      </c>
      <c r="F132" s="1015">
        <f>SUMIF(Substrates!G25:G90,"&lt;0",Substrates!G25:G90)</f>
        <v>0</v>
      </c>
      <c r="G132" s="846"/>
      <c r="H132" s="853"/>
      <c r="I132" s="853"/>
      <c r="J132" s="853"/>
      <c r="K132" s="853"/>
      <c r="L132" s="853"/>
      <c r="M132" s="853"/>
      <c r="N132" s="853"/>
      <c r="O132" s="853"/>
      <c r="P132" s="853"/>
      <c r="Q132" s="853"/>
      <c r="R132" s="853"/>
      <c r="S132" s="1013"/>
      <c r="T132" s="1013"/>
      <c r="U132" s="1013"/>
      <c r="V132" s="1013"/>
      <c r="W132" s="1013"/>
      <c r="X132" s="1013"/>
      <c r="Y132" s="1013"/>
      <c r="Z132" s="1013"/>
      <c r="AA132" s="1013"/>
      <c r="AB132" s="1013"/>
      <c r="AC132" s="1013"/>
      <c r="AD132" s="1013"/>
      <c r="AE132" s="1013"/>
      <c r="AF132" s="1013"/>
      <c r="AG132" s="1013"/>
      <c r="AH132" s="1013"/>
      <c r="AI132" s="1013"/>
      <c r="AJ132" s="1013"/>
      <c r="AK132" s="1013"/>
      <c r="AL132" s="1013"/>
      <c r="AM132" s="790"/>
      <c r="AN132" s="713"/>
      <c r="AO132" s="713"/>
      <c r="AP132" s="706"/>
      <c r="AQ132" s="713"/>
      <c r="AR132" s="713"/>
      <c r="AS132" s="713"/>
      <c r="AT132" s="713"/>
      <c r="AU132" s="713"/>
      <c r="AV132" s="713"/>
      <c r="AW132" s="713"/>
      <c r="AX132" s="716"/>
      <c r="AY132" s="716"/>
      <c r="AZ132" s="716"/>
      <c r="BA132" s="716"/>
      <c r="BB132" s="645"/>
      <c r="BC132" s="645"/>
      <c r="BD132" s="645"/>
      <c r="BE132" s="663"/>
      <c r="BF132" s="584"/>
      <c r="BG132" s="584"/>
      <c r="BH132" s="584"/>
      <c r="BI132" s="584"/>
      <c r="BJ132" s="584"/>
      <c r="BK132" s="584"/>
      <c r="BL132" s="584"/>
      <c r="BM132" s="584"/>
      <c r="BN132" s="584"/>
      <c r="BO132" s="584"/>
      <c r="BP132" s="584"/>
      <c r="BQ132" s="584"/>
      <c r="BR132" s="584"/>
      <c r="BS132" s="584"/>
      <c r="BT132" s="584"/>
      <c r="BU132" s="584"/>
    </row>
    <row r="133" spans="1:73" s="878" customFormat="1">
      <c r="A133" s="1014" t="s">
        <v>1890</v>
      </c>
      <c r="B133" s="673" t="s">
        <v>2203</v>
      </c>
      <c r="C133" s="673" t="s">
        <v>2213</v>
      </c>
      <c r="D133" s="815"/>
      <c r="E133" s="819" t="str">
        <f t="shared" si="199"/>
        <v>Revenue sewage sludge disposal</v>
      </c>
      <c r="F133" s="1015">
        <f>SUMIF(Substrates!G111:G115,"&gt;0",Substrates!G111:G115)</f>
        <v>0</v>
      </c>
      <c r="G133" s="846"/>
      <c r="H133" s="853"/>
      <c r="I133" s="853"/>
      <c r="J133" s="853"/>
      <c r="K133" s="853"/>
      <c r="L133" s="853"/>
      <c r="M133" s="853"/>
      <c r="N133" s="853"/>
      <c r="O133" s="853"/>
      <c r="P133" s="853"/>
      <c r="Q133" s="853"/>
      <c r="R133" s="853"/>
      <c r="S133" s="1013"/>
      <c r="T133" s="1013"/>
      <c r="U133" s="1013"/>
      <c r="V133" s="1013"/>
      <c r="W133" s="1013"/>
      <c r="X133" s="1013"/>
      <c r="Y133" s="1013"/>
      <c r="Z133" s="1013"/>
      <c r="AA133" s="1013"/>
      <c r="AB133" s="1013"/>
      <c r="AC133" s="1013"/>
      <c r="AD133" s="1013"/>
      <c r="AE133" s="1013"/>
      <c r="AF133" s="1013"/>
      <c r="AG133" s="1013"/>
      <c r="AH133" s="1013"/>
      <c r="AI133" s="1013"/>
      <c r="AJ133" s="1013"/>
      <c r="AK133" s="1013"/>
      <c r="AL133" s="1013"/>
      <c r="AM133" s="790"/>
      <c r="AN133" s="713"/>
      <c r="AO133" s="713"/>
      <c r="AP133" s="706"/>
      <c r="AQ133" s="713"/>
      <c r="AR133" s="713"/>
      <c r="AS133" s="713"/>
      <c r="AT133" s="713"/>
      <c r="AU133" s="713"/>
      <c r="AV133" s="713"/>
      <c r="AW133" s="713"/>
      <c r="AX133" s="716"/>
      <c r="AY133" s="716"/>
      <c r="AZ133" s="716"/>
      <c r="BA133" s="716"/>
      <c r="BB133" s="645"/>
      <c r="BC133" s="645"/>
      <c r="BD133" s="645"/>
      <c r="BE133" s="663"/>
      <c r="BF133" s="584"/>
      <c r="BG133" s="584"/>
      <c r="BH133" s="584"/>
      <c r="BI133" s="584"/>
      <c r="BJ133" s="584"/>
      <c r="BK133" s="584"/>
      <c r="BL133" s="584"/>
      <c r="BM133" s="584"/>
      <c r="BN133" s="584"/>
      <c r="BO133" s="584"/>
      <c r="BP133" s="584"/>
      <c r="BQ133" s="584"/>
      <c r="BR133" s="584"/>
      <c r="BS133" s="584"/>
      <c r="BT133" s="584"/>
      <c r="BU133" s="584"/>
    </row>
    <row r="134" spans="1:73" s="878" customFormat="1">
      <c r="A134" s="1014" t="s">
        <v>1889</v>
      </c>
      <c r="B134" s="673" t="s">
        <v>2204</v>
      </c>
      <c r="C134" s="673" t="s">
        <v>2214</v>
      </c>
      <c r="D134" s="815"/>
      <c r="E134" s="819" t="str">
        <f t="shared" si="199"/>
        <v>Expenditure on sewage sludge</v>
      </c>
      <c r="F134" s="1015">
        <f>SUMIF(Substrates!G111:G115,"&lt;0",Substrates!G111:G115)</f>
        <v>0</v>
      </c>
      <c r="G134" s="846"/>
      <c r="H134" s="853"/>
      <c r="I134" s="853"/>
      <c r="J134" s="853"/>
      <c r="K134" s="853"/>
      <c r="L134" s="853"/>
      <c r="M134" s="853"/>
      <c r="N134" s="853"/>
      <c r="O134" s="853"/>
      <c r="P134" s="853"/>
      <c r="Q134" s="853"/>
      <c r="R134" s="853"/>
      <c r="S134" s="1013"/>
      <c r="T134" s="1013"/>
      <c r="U134" s="1013"/>
      <c r="V134" s="1013"/>
      <c r="W134" s="1013"/>
      <c r="X134" s="1013"/>
      <c r="Y134" s="1013"/>
      <c r="Z134" s="1013"/>
      <c r="AA134" s="1013"/>
      <c r="AB134" s="1013"/>
      <c r="AC134" s="1013"/>
      <c r="AD134" s="1013"/>
      <c r="AE134" s="1013"/>
      <c r="AF134" s="1013"/>
      <c r="AG134" s="1013"/>
      <c r="AH134" s="1013"/>
      <c r="AI134" s="1013"/>
      <c r="AJ134" s="1013"/>
      <c r="AK134" s="1013"/>
      <c r="AL134" s="1013"/>
      <c r="AM134" s="790"/>
      <c r="AN134" s="713"/>
      <c r="AO134" s="713"/>
      <c r="AP134" s="706"/>
      <c r="AQ134" s="713"/>
      <c r="AR134" s="713"/>
      <c r="AS134" s="713"/>
      <c r="AT134" s="713"/>
      <c r="AU134" s="713"/>
      <c r="AV134" s="713"/>
      <c r="AW134" s="713"/>
      <c r="AX134" s="716"/>
      <c r="AY134" s="716"/>
      <c r="AZ134" s="716"/>
      <c r="BA134" s="716"/>
      <c r="BB134" s="645"/>
      <c r="BC134" s="645"/>
      <c r="BD134" s="645"/>
      <c r="BE134" s="663"/>
      <c r="BF134" s="584"/>
      <c r="BG134" s="584"/>
      <c r="BH134" s="584"/>
      <c r="BI134" s="584"/>
      <c r="BJ134" s="584"/>
      <c r="BK134" s="584"/>
      <c r="BL134" s="584"/>
      <c r="BM134" s="584"/>
      <c r="BN134" s="584"/>
      <c r="BO134" s="584"/>
      <c r="BP134" s="584"/>
      <c r="BQ134" s="584"/>
      <c r="BR134" s="584"/>
      <c r="BS134" s="584"/>
      <c r="BT134" s="584"/>
      <c r="BU134" s="584"/>
    </row>
    <row r="135" spans="1:73" s="878" customFormat="1">
      <c r="A135" s="673"/>
      <c r="B135" s="673"/>
      <c r="C135" s="673"/>
      <c r="D135" s="815"/>
      <c r="E135" s="863" t="str">
        <f>Substrates!G4</f>
        <v>Financial income (plus) or expense (minus), excluding transport costs</v>
      </c>
      <c r="F135" s="1016">
        <f>F131+F132+F133+F134</f>
        <v>0</v>
      </c>
      <c r="G135" s="863"/>
      <c r="H135" s="863"/>
      <c r="I135" s="863"/>
      <c r="J135" s="863"/>
      <c r="K135" s="863"/>
      <c r="L135" s="863"/>
      <c r="M135" s="863"/>
      <c r="N135" s="977"/>
      <c r="O135" s="977"/>
      <c r="P135" s="977"/>
      <c r="Q135" s="977"/>
      <c r="R135" s="977"/>
      <c r="S135" s="1013"/>
      <c r="T135" s="1013"/>
      <c r="U135" s="1013"/>
      <c r="V135" s="1013"/>
      <c r="W135" s="1013"/>
      <c r="X135" s="1013"/>
      <c r="Y135" s="1013"/>
      <c r="Z135" s="1013"/>
      <c r="AA135" s="1013"/>
      <c r="AB135" s="1013"/>
      <c r="AC135" s="1013"/>
      <c r="AD135" s="1013"/>
      <c r="AE135" s="1013"/>
      <c r="AF135" s="1013"/>
      <c r="AG135" s="1013"/>
      <c r="AH135" s="1013"/>
      <c r="AI135" s="1013"/>
      <c r="AJ135" s="1013"/>
      <c r="AK135" s="1013"/>
      <c r="AL135" s="1013"/>
      <c r="AM135" s="790"/>
      <c r="AN135" s="713"/>
      <c r="AO135" s="713"/>
      <c r="AP135" s="706"/>
      <c r="AQ135" s="713"/>
      <c r="AR135" s="713"/>
      <c r="AS135" s="713"/>
      <c r="AT135" s="713"/>
      <c r="AU135" s="713"/>
      <c r="AV135" s="713"/>
      <c r="AW135" s="713"/>
      <c r="AX135" s="716"/>
      <c r="AY135" s="716"/>
      <c r="AZ135" s="716"/>
      <c r="BA135" s="716"/>
      <c r="BB135" s="645"/>
      <c r="BC135" s="645"/>
      <c r="BD135" s="645"/>
      <c r="BE135" s="663"/>
      <c r="BF135" s="584"/>
      <c r="BG135" s="584"/>
      <c r="BH135" s="584"/>
      <c r="BI135" s="584"/>
      <c r="BJ135" s="584"/>
      <c r="BK135" s="584"/>
      <c r="BL135" s="584"/>
      <c r="BM135" s="584"/>
      <c r="BN135" s="584"/>
      <c r="BO135" s="584"/>
      <c r="BP135" s="584"/>
      <c r="BQ135" s="584"/>
      <c r="BR135" s="584"/>
      <c r="BS135" s="584"/>
      <c r="BT135" s="584"/>
      <c r="BU135" s="584"/>
    </row>
    <row r="136" spans="1:73" s="878" customFormat="1">
      <c r="A136" s="673"/>
      <c r="B136" s="673"/>
      <c r="C136" s="673"/>
      <c r="D136" s="602"/>
      <c r="E136" s="853"/>
      <c r="F136" s="853"/>
      <c r="G136" s="853"/>
      <c r="H136" s="853"/>
      <c r="I136" s="853"/>
      <c r="J136" s="853"/>
      <c r="K136" s="853"/>
      <c r="L136" s="853"/>
      <c r="M136" s="853"/>
      <c r="N136" s="853"/>
      <c r="O136" s="853"/>
      <c r="P136" s="853"/>
      <c r="Q136" s="853"/>
      <c r="R136" s="853"/>
      <c r="S136" s="710"/>
      <c r="T136" s="712"/>
      <c r="U136" s="712"/>
      <c r="V136" s="710"/>
      <c r="W136" s="712"/>
      <c r="X136" s="712"/>
      <c r="Y136" s="710"/>
      <c r="Z136" s="712"/>
      <c r="AA136" s="712"/>
      <c r="AB136" s="710"/>
      <c r="AC136" s="711"/>
      <c r="AD136" s="788"/>
      <c r="AE136" s="789"/>
      <c r="AF136" s="789"/>
      <c r="AG136" s="710"/>
      <c r="AH136" s="712"/>
      <c r="AI136" s="712"/>
      <c r="AJ136" s="712"/>
      <c r="AK136" s="712"/>
      <c r="AL136" s="713"/>
      <c r="AM136" s="790"/>
      <c r="AN136" s="790"/>
      <c r="AO136" s="790"/>
      <c r="AP136" s="713"/>
      <c r="AQ136" s="713"/>
      <c r="AR136" s="706"/>
      <c r="AS136" s="713"/>
      <c r="AT136" s="713"/>
      <c r="AU136" s="713"/>
      <c r="AV136" s="713"/>
      <c r="AW136" s="713"/>
      <c r="AX136" s="713"/>
      <c r="AY136" s="713"/>
      <c r="AZ136" s="716"/>
      <c r="BA136" s="716"/>
      <c r="BB136" s="716"/>
      <c r="BC136" s="716"/>
      <c r="BD136" s="645"/>
      <c r="BE136" s="645"/>
      <c r="BF136" s="645"/>
      <c r="BG136" s="663"/>
      <c r="BH136" s="584"/>
      <c r="BI136" s="584"/>
      <c r="BJ136" s="584"/>
      <c r="BK136" s="584"/>
      <c r="BL136" s="584"/>
      <c r="BM136" s="584"/>
      <c r="BN136" s="584"/>
      <c r="BO136" s="584"/>
      <c r="BP136" s="584"/>
      <c r="BQ136" s="584"/>
      <c r="BR136" s="584"/>
      <c r="BS136" s="584"/>
      <c r="BT136" s="584"/>
      <c r="BU136" s="584"/>
    </row>
    <row r="137" spans="1:73" s="878" customFormat="1">
      <c r="A137" s="807" t="s">
        <v>363</v>
      </c>
      <c r="B137" s="201" t="s">
        <v>2205</v>
      </c>
      <c r="C137" s="935" t="s">
        <v>2215</v>
      </c>
      <c r="D137" s="709"/>
      <c r="E137" s="819" t="str">
        <f>IF(sprache=1,A137,IF(sprache=2,B137,C137))</f>
        <v xml:space="preserve"> Purchase </v>
      </c>
      <c r="F137" s="879" t="e">
        <f>G137/SUM(F25:F90)</f>
        <v>#DIV/0!</v>
      </c>
      <c r="G137" s="1005">
        <f>SUMIF(G8:G124,"&lt;0",G8:G124)</f>
        <v>0</v>
      </c>
      <c r="H137" s="880"/>
      <c r="I137" s="881"/>
      <c r="J137" s="882"/>
      <c r="K137" s="882"/>
      <c r="L137" s="883"/>
      <c r="M137" s="884"/>
      <c r="N137" s="884"/>
      <c r="O137" s="884"/>
      <c r="P137" s="884"/>
      <c r="Q137" s="884"/>
      <c r="R137" s="884"/>
      <c r="S137" s="710"/>
      <c r="T137" s="710"/>
      <c r="U137" s="710"/>
      <c r="V137" s="710"/>
      <c r="W137" s="710"/>
      <c r="X137" s="710"/>
      <c r="Y137" s="710"/>
      <c r="Z137" s="710"/>
      <c r="AA137" s="710"/>
      <c r="AB137" s="710"/>
      <c r="AC137" s="711"/>
      <c r="AD137" s="711"/>
      <c r="AE137" s="711"/>
      <c r="AF137" s="711"/>
      <c r="AG137" s="710"/>
      <c r="AH137" s="710"/>
      <c r="AI137" s="710"/>
      <c r="AJ137" s="710"/>
      <c r="AK137" s="712"/>
      <c r="AL137" s="634">
        <f>SUM(AL25:AL93)</f>
        <v>0</v>
      </c>
      <c r="AM137" s="713"/>
      <c r="AN137" s="713"/>
      <c r="AO137" s="713"/>
      <c r="AP137" s="713" t="e">
        <f>MainInput!P88*CH4_GärgutFestLager_Standard*(1+Faktor_CH4)</f>
        <v>#N/A</v>
      </c>
      <c r="AQ137" s="714"/>
      <c r="AR137" s="706" t="e">
        <f>AND(Preis_Entsorgung_flüssig&lt;0,Auswahl_Verwendung_flüssig&lt;5)</f>
        <v>#N/A</v>
      </c>
      <c r="AS137" s="713"/>
      <c r="AT137" s="713"/>
      <c r="AU137" s="713"/>
      <c r="AV137" s="713"/>
      <c r="AW137" s="715"/>
      <c r="AX137" s="715"/>
      <c r="AY137" s="715"/>
      <c r="AZ137" s="716"/>
      <c r="BA137" s="716"/>
      <c r="BB137" s="716"/>
      <c r="BC137" s="716"/>
      <c r="BD137" s="584"/>
      <c r="BE137" s="584"/>
      <c r="BF137" s="584"/>
      <c r="BG137" s="663"/>
      <c r="BH137" s="584"/>
      <c r="BI137" s="584"/>
      <c r="BJ137" s="584"/>
      <c r="BK137" s="584"/>
      <c r="BL137" s="584"/>
      <c r="BM137" s="584"/>
      <c r="BN137" s="584"/>
      <c r="BO137" s="584"/>
      <c r="BP137" s="584"/>
      <c r="BQ137" s="584"/>
      <c r="BR137" s="584"/>
      <c r="BS137" s="584"/>
      <c r="BT137" s="584"/>
      <c r="BU137" s="584"/>
    </row>
    <row r="138" spans="1:73" s="878" customFormat="1">
      <c r="A138" s="807" t="s">
        <v>272</v>
      </c>
      <c r="B138" s="673" t="s">
        <v>2206</v>
      </c>
      <c r="C138" s="673" t="s">
        <v>2216</v>
      </c>
      <c r="D138" s="602"/>
      <c r="E138" s="819" t="str">
        <f>IF(sprache=1,A138,IF(sprache=2,B138,C138))</f>
        <v xml:space="preserve"> Disposal </v>
      </c>
      <c r="F138" s="879" t="e">
        <f>G138/SUM(F25:F90)</f>
        <v>#DIV/0!</v>
      </c>
      <c r="G138" s="850">
        <f>SUMIF(G8:G124,"&gt;0",G8:G124)</f>
        <v>0</v>
      </c>
      <c r="H138" s="880"/>
      <c r="I138" s="881"/>
      <c r="L138" s="885">
        <f>1*S138*V138/10</f>
        <v>226.87299999999999</v>
      </c>
      <c r="M138" s="886">
        <f>1*S138*V138/10000*AG138</f>
        <v>111.621516</v>
      </c>
      <c r="N138" s="886"/>
      <c r="O138" s="886"/>
      <c r="P138" s="886"/>
      <c r="Q138" s="886"/>
      <c r="R138" s="886"/>
      <c r="S138" s="668">
        <f>(T138+U138)/2</f>
        <v>30.7</v>
      </c>
      <c r="T138" s="668">
        <v>30.7</v>
      </c>
      <c r="U138" s="668">
        <v>30.7</v>
      </c>
      <c r="V138" s="668">
        <f>(W138+X138)/2</f>
        <v>73.900000000000006</v>
      </c>
      <c r="W138" s="668">
        <v>73.900000000000006</v>
      </c>
      <c r="X138" s="668">
        <v>73.900000000000006</v>
      </c>
      <c r="Y138" s="668">
        <f>(Z138+AA138)/2</f>
        <v>2.9930555555555554</v>
      </c>
      <c r="Z138" s="668">
        <v>2.3277777777777775</v>
      </c>
      <c r="AA138" s="668">
        <v>3.6583333333333337</v>
      </c>
      <c r="AB138" s="629"/>
      <c r="AC138" s="631">
        <f>AD138*Y138</f>
        <v>1.8457175925925919</v>
      </c>
      <c r="AD138" s="666">
        <v>0.61666666666666647</v>
      </c>
      <c r="AE138" s="667">
        <v>45.65</v>
      </c>
      <c r="AF138" s="667">
        <v>50.55</v>
      </c>
      <c r="AG138" s="668">
        <f>(AH138+AI138)/2</f>
        <v>492</v>
      </c>
      <c r="AH138" s="668">
        <v>376</v>
      </c>
      <c r="AI138" s="668">
        <v>608</v>
      </c>
      <c r="AJ138" s="668">
        <v>57</v>
      </c>
      <c r="AK138" s="668">
        <f>AJ138*$AG138/100</f>
        <v>280.44</v>
      </c>
      <c r="AL138" s="663"/>
      <c r="AM138" s="663"/>
      <c r="AN138" s="663"/>
      <c r="AO138" s="663"/>
      <c r="AP138" s="663"/>
      <c r="AQ138" s="588"/>
      <c r="AR138" s="663"/>
      <c r="AS138" s="663"/>
      <c r="AT138" s="663"/>
      <c r="AU138" s="663"/>
      <c r="AV138" s="663"/>
      <c r="AW138" s="717"/>
      <c r="AX138" s="717"/>
      <c r="AY138" s="717"/>
      <c r="AZ138" s="661"/>
      <c r="BA138" s="661"/>
      <c r="BB138" s="661"/>
      <c r="BC138" s="661"/>
      <c r="BD138" s="584"/>
      <c r="BE138" s="584"/>
      <c r="BF138" s="584"/>
      <c r="BG138" s="663"/>
      <c r="BH138" s="584"/>
      <c r="BI138" s="584"/>
      <c r="BJ138" s="584"/>
      <c r="BK138" s="584"/>
      <c r="BL138" s="584"/>
      <c r="BM138" s="584"/>
      <c r="BN138" s="584"/>
      <c r="BO138" s="584"/>
      <c r="BP138" s="584"/>
      <c r="BQ138" s="584"/>
      <c r="BR138" s="584"/>
      <c r="BS138" s="584"/>
      <c r="BT138" s="584"/>
      <c r="BU138" s="584"/>
    </row>
    <row r="139" spans="1:73" s="878" customFormat="1">
      <c r="A139" s="807" t="s">
        <v>893</v>
      </c>
      <c r="B139" s="673" t="s">
        <v>2207</v>
      </c>
      <c r="C139" s="673" t="s">
        <v>2217</v>
      </c>
      <c r="D139" s="602"/>
      <c r="E139" s="819" t="str">
        <f>IF(sprache=1,A139,IF(sprache=2,B139,C139))</f>
        <v xml:space="preserve"> Average </v>
      </c>
      <c r="F139" s="887" t="e">
        <f>SUM(F25:F108)/F126</f>
        <v>#DIV/0!</v>
      </c>
      <c r="G139" s="888" t="e">
        <f>SUM(G25:G90)/SUM(F25:F90)/1000</f>
        <v>#DIV/0!</v>
      </c>
      <c r="H139" s="889"/>
      <c r="I139" s="890" t="e">
        <f>tkm_lkw/F126</f>
        <v>#DIV/0!</v>
      </c>
      <c r="L139" s="885"/>
      <c r="M139" s="886"/>
      <c r="N139" s="886"/>
      <c r="O139" s="886"/>
      <c r="P139" s="886"/>
      <c r="Q139" s="886"/>
      <c r="R139" s="886"/>
      <c r="S139" s="668"/>
      <c r="T139" s="668"/>
      <c r="U139" s="668"/>
      <c r="V139" s="668"/>
      <c r="W139" s="668"/>
      <c r="X139" s="668"/>
      <c r="Y139" s="668"/>
      <c r="Z139" s="668"/>
      <c r="AA139" s="668"/>
      <c r="AB139" s="629"/>
      <c r="AC139" s="631"/>
      <c r="AD139" s="666"/>
      <c r="AE139" s="667"/>
      <c r="AF139" s="667"/>
      <c r="AG139" s="668"/>
      <c r="AH139" s="668"/>
      <c r="AI139" s="668"/>
      <c r="AJ139" s="668"/>
      <c r="AK139" s="668"/>
      <c r="AL139" s="663"/>
      <c r="AM139" s="626" t="s">
        <v>1181</v>
      </c>
      <c r="AN139" s="626" t="s">
        <v>844</v>
      </c>
      <c r="AO139" s="168" t="s">
        <v>1183</v>
      </c>
      <c r="AP139" s="168" t="s">
        <v>1181</v>
      </c>
      <c r="AQ139" s="626" t="s">
        <v>844</v>
      </c>
      <c r="AR139" s="626" t="s">
        <v>844</v>
      </c>
      <c r="AS139" s="168" t="s">
        <v>1183</v>
      </c>
      <c r="AT139" s="168" t="s">
        <v>1182</v>
      </c>
      <c r="AU139" s="626" t="s">
        <v>845</v>
      </c>
      <c r="AV139" s="626" t="s">
        <v>846</v>
      </c>
      <c r="AW139" s="717"/>
      <c r="AX139" s="717"/>
      <c r="AY139" s="717"/>
      <c r="AZ139" s="661"/>
      <c r="BA139" s="661"/>
      <c r="BB139" s="661"/>
      <c r="BC139" s="661"/>
      <c r="BD139" s="584"/>
      <c r="BE139" s="584"/>
      <c r="BF139" s="584"/>
      <c r="BG139" s="663"/>
      <c r="BH139" s="584"/>
      <c r="BI139" s="584"/>
      <c r="BJ139" s="584"/>
      <c r="BK139" s="584"/>
      <c r="BL139" s="584"/>
      <c r="BM139" s="584"/>
      <c r="BN139" s="584"/>
      <c r="BO139" s="584"/>
      <c r="BP139" s="584"/>
      <c r="BQ139" s="584"/>
      <c r="BR139" s="584"/>
      <c r="BS139" s="584"/>
      <c r="BT139" s="584"/>
      <c r="BU139" s="584"/>
    </row>
    <row r="140" spans="1:73" s="878" customFormat="1">
      <c r="A140" s="201" t="s">
        <v>169</v>
      </c>
      <c r="B140" s="201" t="s">
        <v>473</v>
      </c>
      <c r="C140" s="935" t="s">
        <v>1594</v>
      </c>
      <c r="D140" s="709"/>
      <c r="E140" s="1055" t="str">
        <f t="shared" ref="E140" si="200">IF(sprache=1,A140,IF(sprache=2,B140,C140))</f>
        <v>Back to the exam sheet</v>
      </c>
      <c r="F140" s="887"/>
      <c r="G140" s="888"/>
      <c r="H140" s="889"/>
      <c r="I140" s="890"/>
      <c r="L140" s="885"/>
      <c r="M140" s="886"/>
      <c r="N140" s="886"/>
      <c r="O140" s="886"/>
      <c r="P140" s="886"/>
      <c r="Q140" s="886"/>
      <c r="R140" s="886"/>
      <c r="S140" s="668"/>
      <c r="T140" s="668"/>
      <c r="U140" s="668"/>
      <c r="V140" s="668"/>
      <c r="W140" s="668"/>
      <c r="X140" s="668"/>
      <c r="Y140" s="668"/>
      <c r="Z140" s="668"/>
      <c r="AA140" s="668"/>
      <c r="AB140" s="629"/>
      <c r="AC140" s="631"/>
      <c r="AD140" s="666"/>
      <c r="AE140" s="667"/>
      <c r="AF140" s="667"/>
      <c r="AG140" s="668"/>
      <c r="AH140" s="668"/>
      <c r="AI140" s="668"/>
      <c r="AJ140" s="668"/>
      <c r="AK140" s="668"/>
      <c r="AL140" s="663"/>
      <c r="AM140" s="626"/>
      <c r="AN140" s="626"/>
      <c r="AO140" s="168"/>
      <c r="AP140" s="168"/>
      <c r="AQ140" s="626"/>
      <c r="AR140" s="626"/>
      <c r="AS140" s="168"/>
      <c r="AT140" s="168"/>
      <c r="AU140" s="626"/>
      <c r="AV140" s="626"/>
      <c r="AW140" s="717"/>
      <c r="AX140" s="717"/>
      <c r="AY140" s="717"/>
      <c r="AZ140" s="661"/>
      <c r="BA140" s="661"/>
      <c r="BB140" s="661"/>
      <c r="BC140" s="661"/>
      <c r="BD140" s="584"/>
      <c r="BE140" s="584"/>
      <c r="BF140" s="584"/>
      <c r="BG140" s="663"/>
      <c r="BH140" s="584"/>
      <c r="BI140" s="584"/>
      <c r="BJ140" s="584"/>
      <c r="BK140" s="584"/>
      <c r="BL140" s="584"/>
      <c r="BM140" s="584"/>
      <c r="BN140" s="584"/>
      <c r="BO140" s="584"/>
      <c r="BP140" s="584"/>
      <c r="BQ140" s="584"/>
      <c r="BR140" s="584"/>
      <c r="BS140" s="584"/>
      <c r="BT140" s="584"/>
      <c r="BU140" s="584"/>
    </row>
    <row r="141" spans="1:73" s="878" customFormat="1">
      <c r="A141" s="673"/>
      <c r="B141" s="673"/>
      <c r="C141" s="673"/>
      <c r="D141" s="602"/>
      <c r="E141" s="853"/>
      <c r="F141" s="891"/>
      <c r="G141" s="891"/>
      <c r="I141" s="881"/>
      <c r="J141" s="881"/>
      <c r="K141" s="881"/>
      <c r="L141" s="891"/>
      <c r="S141" s="684"/>
      <c r="T141" s="718" t="s">
        <v>367</v>
      </c>
      <c r="U141" s="719"/>
      <c r="V141" s="719"/>
      <c r="W141" s="719"/>
      <c r="X141" s="719"/>
      <c r="Y141" s="719"/>
      <c r="Z141" s="719"/>
      <c r="AA141" s="719"/>
      <c r="AB141" s="719"/>
      <c r="AC141" s="720"/>
      <c r="AD141" s="720"/>
      <c r="AE141" s="720"/>
      <c r="AF141" s="720"/>
      <c r="AG141" s="719"/>
      <c r="AH141" s="719"/>
      <c r="AI141" s="721" t="s">
        <v>0</v>
      </c>
      <c r="AJ141" s="721"/>
      <c r="AK141" s="663"/>
      <c r="AL141" s="663">
        <f>DirekteEmissionen!A29</f>
        <v>29</v>
      </c>
      <c r="AM141" s="722">
        <f>INDEX(DirekteEmissionen!$1:$1048576,Substrates!$AL141,MATCH(Substrates!AM$139,DirekteEmissionen!$28:$28,0))</f>
        <v>0.17401618999999999</v>
      </c>
      <c r="AN141" s="722">
        <f>INDEX(DirekteEmissionen!$1:$1048576,Substrates!$AL141,MATCH(Substrates!AN$139,DirekteEmissionen!$28:$28,0))</f>
        <v>4.9680543999999998</v>
      </c>
      <c r="AO141" s="722">
        <f>INDEX(DirekteEmissionen!$1:$1048576,Substrates!$AL141,MATCH(Substrates!AO$139,DirekteEmissionen!$28:$28,0))</f>
        <v>3.1491600000000002</v>
      </c>
      <c r="AP141" s="722">
        <f>INDEX(DirekteEmissionen!$1:$1048576,Substrates!$AL141,MATCH(Substrates!AP$139,DirekteEmissionen!$28:$28,0))</f>
        <v>0.17401618999999999</v>
      </c>
      <c r="AQ141" s="722">
        <f>INDEX(DirekteEmissionen!$1:$1048576,Substrates!$AL141,MATCH(Substrates!AQ$139,DirekteEmissionen!$28:$28,0))</f>
        <v>4.9680543999999998</v>
      </c>
      <c r="AR141" s="722">
        <f>INDEX(DirekteEmissionen!$1:$1048576,Substrates!$AL141,MATCH(Substrates!AR$139,DirekteEmissionen!$28:$28,0))</f>
        <v>4.9680543999999998</v>
      </c>
      <c r="AS141" s="722">
        <f>INDEX(DirekteEmissionen!$1:$1048576,Substrates!$AL141,MATCH(Substrates!AS$139,DirekteEmissionen!$28:$28,0))</f>
        <v>3.1491600000000002</v>
      </c>
      <c r="AT141" s="722">
        <f>INDEX(DirekteEmissionen!$1:$1048576,Substrates!$AL141,MATCH(Substrates!AT$139,DirekteEmissionen!$28:$28,0))</f>
        <v>0</v>
      </c>
      <c r="AU141" s="722">
        <f>INDEX(DirekteEmissionen!$1:$1048576,Substrates!$AL141,MATCH(Substrates!AU$139,DirekteEmissionen!$28:$28,0))</f>
        <v>5.8419199999999998E-2</v>
      </c>
      <c r="AV141" s="722">
        <f>INDEX(DirekteEmissionen!$1:$1048576,Substrates!$AL141,MATCH(Substrates!AV$139,DirekteEmissionen!$28:$28,0))</f>
        <v>4.4477209999999996</v>
      </c>
      <c r="AW141" s="717"/>
      <c r="AX141" s="717"/>
      <c r="AY141" s="717"/>
      <c r="AZ141" s="661"/>
      <c r="BA141" s="661"/>
      <c r="BB141" s="661"/>
      <c r="BC141" s="661"/>
      <c r="BD141" s="584"/>
      <c r="BE141" s="584"/>
      <c r="BF141" s="584"/>
      <c r="BG141" s="663"/>
      <c r="BH141" s="584"/>
      <c r="BI141" s="584"/>
      <c r="BJ141" s="584"/>
      <c r="BK141" s="584"/>
      <c r="BL141" s="584"/>
      <c r="BM141" s="584"/>
      <c r="BN141" s="584"/>
      <c r="BO141" s="584"/>
      <c r="BP141" s="584"/>
      <c r="BQ141" s="584"/>
      <c r="BR141" s="584"/>
      <c r="BS141" s="584"/>
      <c r="BT141" s="584"/>
      <c r="BU141" s="584"/>
    </row>
    <row r="142" spans="1:73" s="878" customFormat="1" hidden="1" outlineLevel="1">
      <c r="A142" s="933"/>
      <c r="B142" s="933"/>
      <c r="C142" s="581"/>
      <c r="D142" s="723"/>
      <c r="E142" s="892" t="s">
        <v>376</v>
      </c>
      <c r="F142" s="893"/>
      <c r="G142" s="893"/>
      <c r="S142" s="684"/>
      <c r="T142" s="684"/>
      <c r="U142" s="684"/>
      <c r="V142" s="684"/>
      <c r="W142" s="684"/>
      <c r="X142" s="684"/>
      <c r="Y142" s="684"/>
      <c r="Z142" s="684"/>
      <c r="AA142" s="684"/>
      <c r="AB142" s="684"/>
      <c r="AC142" s="631"/>
      <c r="AD142" s="631"/>
      <c r="AE142" s="631"/>
      <c r="AF142" s="631"/>
      <c r="AG142" s="684"/>
      <c r="AH142" s="684"/>
      <c r="AI142" s="721" t="s">
        <v>40</v>
      </c>
      <c r="AJ142" s="721"/>
      <c r="AK142" s="663"/>
      <c r="AL142" s="663">
        <f>DirekteEmissionen!A63</f>
        <v>63</v>
      </c>
      <c r="AM142" s="722">
        <f>INDEX(DirekteEmissionen!$1:$1048576,Substrates!$AL142,MATCH(Substrates!AM$139,DirekteEmissionen!$28:$28,0))</f>
        <v>27.75</v>
      </c>
      <c r="AN142" s="722">
        <f>INDEX(DirekteEmissionen!$1:$1048576,Substrates!$AL142,MATCH(Substrates!AN$139,DirekteEmissionen!$28:$28,0))</f>
        <v>0</v>
      </c>
      <c r="AO142" s="722">
        <f>INDEX(DirekteEmissionen!$1:$1048576,Substrates!$AL142,MATCH(Substrates!AO$139,DirekteEmissionen!$28:$28,0))</f>
        <v>265</v>
      </c>
      <c r="AP142" s="722">
        <f>INDEX(DirekteEmissionen!$1:$1048576,Substrates!$AL142,MATCH(Substrates!AP$139,DirekteEmissionen!$28:$28,0))</f>
        <v>27.75</v>
      </c>
      <c r="AQ142" s="722">
        <f>INDEX(DirekteEmissionen!$1:$1048576,Substrates!$AL142,MATCH(Substrates!AQ$139,DirekteEmissionen!$28:$28,0))</f>
        <v>0</v>
      </c>
      <c r="AR142" s="722">
        <f>INDEX(DirekteEmissionen!$1:$1048576,Substrates!$AL142,MATCH(Substrates!AR$139,DirekteEmissionen!$28:$28,0))</f>
        <v>0</v>
      </c>
      <c r="AS142" s="722">
        <f>INDEX(DirekteEmissionen!$1:$1048576,Substrates!$AL142,MATCH(Substrates!AS$139,DirekteEmissionen!$28:$28,0))</f>
        <v>265</v>
      </c>
      <c r="AT142" s="722">
        <f>INDEX(DirekteEmissionen!$1:$1048576,Substrates!$AL142,MATCH(Substrates!AT$139,DirekteEmissionen!$28:$28,0))</f>
        <v>0</v>
      </c>
      <c r="AU142" s="722">
        <f>INDEX(DirekteEmissionen!$1:$1048576,Substrates!$AL142,MATCH(Substrates!AU$139,DirekteEmissionen!$28:$28,0))</f>
        <v>0</v>
      </c>
      <c r="AV142" s="722">
        <f>INDEX(DirekteEmissionen!$1:$1048576,Substrates!$AL142,MATCH(Substrates!AV$139,DirekteEmissionen!$28:$28,0))</f>
        <v>0</v>
      </c>
      <c r="AW142" s="717"/>
      <c r="AX142" s="717"/>
      <c r="AY142" s="717"/>
      <c r="AZ142" s="661"/>
      <c r="BA142" s="661"/>
      <c r="BB142" s="661"/>
      <c r="BC142" s="661"/>
      <c r="BD142" s="584"/>
      <c r="BE142" s="584"/>
      <c r="BF142" s="584"/>
      <c r="BG142" s="663"/>
      <c r="BH142" s="584"/>
      <c r="BI142" s="584"/>
      <c r="BJ142" s="584"/>
      <c r="BK142" s="584"/>
      <c r="BL142" s="584"/>
      <c r="BM142" s="584"/>
      <c r="BN142" s="584"/>
      <c r="BO142" s="584"/>
      <c r="BP142" s="584"/>
      <c r="BQ142" s="584"/>
      <c r="BR142" s="584"/>
      <c r="BS142" s="584"/>
      <c r="BT142" s="584"/>
      <c r="BU142" s="584"/>
    </row>
    <row r="143" spans="1:73" s="878" customFormat="1" hidden="1" outlineLevel="1">
      <c r="A143" s="933"/>
      <c r="B143" s="933"/>
      <c r="C143" s="581"/>
      <c r="D143" s="723"/>
      <c r="E143" s="892" t="s">
        <v>377</v>
      </c>
      <c r="F143" s="893"/>
      <c r="G143" s="893"/>
      <c r="S143" s="684"/>
      <c r="T143" s="684"/>
      <c r="U143" s="684"/>
      <c r="V143" s="684"/>
      <c r="W143" s="684"/>
      <c r="X143" s="684"/>
      <c r="Y143" s="684"/>
      <c r="Z143" s="684"/>
      <c r="AA143" s="684"/>
      <c r="AB143" s="684"/>
      <c r="AC143" s="631"/>
      <c r="AD143" s="631"/>
      <c r="AE143" s="631"/>
      <c r="AF143" s="631"/>
      <c r="AG143" s="684"/>
      <c r="AH143" s="684"/>
      <c r="AI143" s="721" t="s">
        <v>42</v>
      </c>
      <c r="AJ143" s="721"/>
      <c r="AK143" s="663"/>
      <c r="AL143" s="663"/>
      <c r="AM143" s="722">
        <f t="shared" ref="AM143:AN143" si="201">AP143</f>
        <v>0</v>
      </c>
      <c r="AN143" s="722">
        <f t="shared" si="201"/>
        <v>0</v>
      </c>
      <c r="AO143" s="722">
        <f>AS143</f>
        <v>0</v>
      </c>
      <c r="AP143" s="725">
        <v>0</v>
      </c>
      <c r="AQ143" s="725">
        <v>0</v>
      </c>
      <c r="AR143" s="725">
        <f>AQ143</f>
        <v>0</v>
      </c>
      <c r="AS143" s="725">
        <v>0</v>
      </c>
      <c r="AT143" s="725">
        <v>0</v>
      </c>
      <c r="AU143" s="725">
        <v>0</v>
      </c>
      <c r="AV143" s="725">
        <v>0</v>
      </c>
      <c r="AW143" s="663"/>
      <c r="AX143" s="663"/>
      <c r="AY143" s="663"/>
      <c r="AZ143" s="661"/>
      <c r="BA143" s="661"/>
      <c r="BB143" s="661"/>
      <c r="BC143" s="661"/>
      <c r="BD143" s="584"/>
      <c r="BE143" s="584"/>
      <c r="BF143" s="584"/>
      <c r="BG143" s="663"/>
      <c r="BH143" s="584"/>
      <c r="BI143" s="584"/>
      <c r="BJ143" s="584"/>
      <c r="BK143" s="584"/>
      <c r="BL143" s="584"/>
      <c r="BM143" s="584"/>
      <c r="BN143" s="584"/>
      <c r="BO143" s="584"/>
      <c r="BP143" s="584"/>
      <c r="BQ143" s="584"/>
      <c r="BR143" s="584"/>
      <c r="BS143" s="584"/>
      <c r="BT143" s="584"/>
      <c r="BU143" s="584"/>
    </row>
    <row r="144" spans="1:73" s="878" customFormat="1" hidden="1" outlineLevel="1">
      <c r="A144" s="933"/>
      <c r="B144" s="933"/>
      <c r="C144" s="581"/>
      <c r="D144" s="723"/>
      <c r="E144" s="892" t="s">
        <v>354</v>
      </c>
      <c r="F144" s="893"/>
      <c r="G144" s="893"/>
      <c r="S144" s="684"/>
      <c r="T144" s="684"/>
      <c r="U144" s="684"/>
      <c r="V144" s="684"/>
      <c r="W144" s="684"/>
      <c r="X144" s="684"/>
      <c r="Y144" s="684"/>
      <c r="Z144" s="684"/>
      <c r="AA144" s="684"/>
      <c r="AB144" s="684"/>
      <c r="AC144" s="631"/>
      <c r="AD144" s="631"/>
      <c r="AE144" s="631"/>
      <c r="AF144" s="631"/>
      <c r="AG144" s="684"/>
      <c r="AH144" s="684"/>
      <c r="AI144" s="721" t="s">
        <v>51</v>
      </c>
      <c r="AJ144" s="721"/>
      <c r="AK144" s="663"/>
      <c r="AL144" s="663">
        <f>DirekteEmissionen!A93</f>
        <v>93</v>
      </c>
      <c r="AM144" s="722">
        <f>INDEX(DirekteEmissionen!$1:$1048576,Substrates!$AL144,MATCH(Substrates!AM$139,DirekteEmissionen!$28:$28,0))</f>
        <v>12000</v>
      </c>
      <c r="AN144" s="722">
        <f>INDEX(DirekteEmissionen!$1:$1048576,Substrates!$AL144,MATCH(Substrates!AN$139,DirekteEmissionen!$28:$28,0))</f>
        <v>67000</v>
      </c>
      <c r="AO144" s="722">
        <f>INDEX(DirekteEmissionen!$1:$1048576,Substrates!$AL144,MATCH(Substrates!AO$139,DirekteEmissionen!$28:$28,0))</f>
        <v>140000</v>
      </c>
      <c r="AP144" s="722">
        <f>INDEX(DirekteEmissionen!$1:$1048576,Substrates!$AL144,MATCH(Substrates!AP$139,DirekteEmissionen!$28:$28,0))</f>
        <v>12000</v>
      </c>
      <c r="AQ144" s="722">
        <f>INDEX(DirekteEmissionen!$1:$1048576,Substrates!$AL144,MATCH(Substrates!AQ$139,DirekteEmissionen!$28:$28,0))</f>
        <v>67000</v>
      </c>
      <c r="AR144" s="722">
        <f>INDEX(DirekteEmissionen!$1:$1048576,Substrates!$AL144,MATCH(Substrates!AR$139,DirekteEmissionen!$28:$28,0))</f>
        <v>67000</v>
      </c>
      <c r="AS144" s="722">
        <f>INDEX(DirekteEmissionen!$1:$1048576,Substrates!$AL144,MATCH(Substrates!AS$139,DirekteEmissionen!$28:$28,0))</f>
        <v>140000</v>
      </c>
      <c r="AT144" s="722">
        <f>INDEX(DirekteEmissionen!$1:$1048576,Substrates!$AL144,MATCH(Substrates!AT$139,DirekteEmissionen!$28:$28,0))</f>
        <v>39000</v>
      </c>
      <c r="AU144" s="722">
        <f>INDEX(DirekteEmissionen!$1:$1048576,Substrates!$AL144,MATCH(Substrates!AU$139,DirekteEmissionen!$28:$28,0))</f>
        <v>14000</v>
      </c>
      <c r="AV144" s="722">
        <f>INDEX(DirekteEmissionen!$1:$1048576,Substrates!$AL144,MATCH(Substrates!AV$139,DirekteEmissionen!$28:$28,0))</f>
        <v>39000</v>
      </c>
      <c r="AW144" s="663"/>
      <c r="AX144" s="663"/>
      <c r="AY144" s="663"/>
      <c r="AZ144" s="661"/>
      <c r="BA144" s="661"/>
      <c r="BB144" s="661"/>
      <c r="BC144" s="661"/>
      <c r="BD144" s="584"/>
      <c r="BE144" s="584"/>
      <c r="BF144" s="584"/>
      <c r="BG144" s="663"/>
      <c r="BH144" s="584"/>
      <c r="BI144" s="584"/>
      <c r="BJ144" s="584"/>
      <c r="BK144" s="584"/>
      <c r="BL144" s="584"/>
      <c r="BM144" s="584"/>
      <c r="BN144" s="584"/>
      <c r="BO144" s="584"/>
      <c r="BP144" s="584"/>
      <c r="BQ144" s="584"/>
      <c r="BR144" s="584"/>
      <c r="BS144" s="584"/>
      <c r="BT144" s="584"/>
      <c r="BU144" s="584"/>
    </row>
    <row r="145" spans="1:73" s="878" customFormat="1" hidden="1" outlineLevel="1">
      <c r="A145" s="933"/>
      <c r="B145" s="933"/>
      <c r="C145" s="581"/>
      <c r="D145" s="723"/>
      <c r="E145" s="892" t="s">
        <v>378</v>
      </c>
      <c r="F145" s="893"/>
      <c r="G145" s="893"/>
      <c r="S145" s="684"/>
      <c r="T145" s="684"/>
      <c r="U145" s="684"/>
      <c r="V145" s="684"/>
      <c r="W145" s="684"/>
      <c r="X145" s="684"/>
      <c r="Y145" s="684"/>
      <c r="Z145" s="684"/>
      <c r="AA145" s="684"/>
      <c r="AB145" s="684"/>
      <c r="AC145" s="631"/>
      <c r="AD145" s="631"/>
      <c r="AE145" s="631"/>
      <c r="AF145" s="631"/>
      <c r="AG145" s="684"/>
      <c r="AH145" s="684"/>
      <c r="AI145" s="584"/>
      <c r="AJ145" s="584"/>
      <c r="AK145" s="663"/>
      <c r="AL145" s="663"/>
      <c r="AM145" s="584"/>
      <c r="AN145" s="584"/>
      <c r="AO145" s="584"/>
      <c r="AP145" s="663"/>
      <c r="AQ145" s="588"/>
      <c r="AR145" s="663"/>
      <c r="AS145" s="663"/>
      <c r="AT145" s="663"/>
      <c r="AU145" s="663"/>
      <c r="AV145" s="663"/>
      <c r="AW145" s="724"/>
      <c r="AX145" s="724" t="s">
        <v>166</v>
      </c>
      <c r="AY145" s="663"/>
      <c r="AZ145" s="661"/>
      <c r="BA145" s="661"/>
      <c r="BB145" s="661"/>
      <c r="BC145" s="661"/>
      <c r="BD145" s="584"/>
      <c r="BE145" s="584"/>
      <c r="BF145" s="584"/>
      <c r="BG145" s="663"/>
      <c r="BH145" s="584"/>
      <c r="BI145" s="584"/>
      <c r="BJ145" s="584"/>
      <c r="BK145" s="584"/>
      <c r="BL145" s="584"/>
      <c r="BM145" s="584"/>
      <c r="BN145" s="584"/>
      <c r="BO145" s="584"/>
      <c r="BP145" s="584"/>
      <c r="BQ145" s="584"/>
      <c r="BR145" s="584"/>
      <c r="BS145" s="584"/>
      <c r="BT145" s="584"/>
      <c r="BU145" s="584"/>
    </row>
    <row r="146" spans="1:73" s="878" customFormat="1" hidden="1" outlineLevel="1">
      <c r="A146" s="933"/>
      <c r="B146" s="933"/>
      <c r="C146" s="581"/>
      <c r="D146" s="723"/>
      <c r="E146" s="878" t="s">
        <v>82</v>
      </c>
      <c r="F146" s="893"/>
      <c r="G146" s="893"/>
      <c r="S146" s="684"/>
      <c r="T146" s="684"/>
      <c r="U146" s="684"/>
      <c r="V146" s="684"/>
      <c r="W146" s="684"/>
      <c r="X146" s="684"/>
      <c r="Y146" s="684"/>
      <c r="Z146" s="684"/>
      <c r="AA146" s="684"/>
      <c r="AB146" s="684"/>
      <c r="AC146" s="631"/>
      <c r="AD146" s="631"/>
      <c r="AE146" s="631"/>
      <c r="AF146" s="631"/>
      <c r="AG146" s="684"/>
      <c r="AH146" s="684"/>
      <c r="AI146" s="721" t="s">
        <v>0</v>
      </c>
      <c r="AJ146" s="721"/>
      <c r="AK146" s="663"/>
      <c r="AL146" s="663"/>
      <c r="AM146" s="726">
        <f t="shared" ref="AM146:AS146" si="202">AM141*AM$126</f>
        <v>0</v>
      </c>
      <c r="AN146" s="726">
        <f t="shared" si="202"/>
        <v>0</v>
      </c>
      <c r="AO146" s="726">
        <f t="shared" si="202"/>
        <v>0</v>
      </c>
      <c r="AP146" s="727" t="e">
        <f t="shared" si="202"/>
        <v>#N/A</v>
      </c>
      <c r="AQ146" s="727" t="e">
        <f>AQ141*AQ$126</f>
        <v>#N/A</v>
      </c>
      <c r="AR146" s="727" t="e">
        <f t="shared" si="202"/>
        <v>#N/A</v>
      </c>
      <c r="AS146" s="727" t="e">
        <f t="shared" si="202"/>
        <v>#DIV/0!</v>
      </c>
      <c r="AT146" s="727" t="e">
        <f t="shared" ref="AT146:AV149" si="203">AT141*AT$126</f>
        <v>#N/A</v>
      </c>
      <c r="AU146" s="727" t="e">
        <f t="shared" si="203"/>
        <v>#N/A</v>
      </c>
      <c r="AV146" s="727" t="e">
        <f t="shared" si="203"/>
        <v>#N/A</v>
      </c>
      <c r="AW146" s="728"/>
      <c r="AX146" s="728">
        <f t="array" ref="AX146:AX149">TRANSPOSE(AZ126:BC126)</f>
        <v>0</v>
      </c>
      <c r="AY146" s="663"/>
      <c r="AZ146" s="589"/>
      <c r="BA146" s="589"/>
      <c r="BB146" s="589"/>
      <c r="BC146" s="589"/>
      <c r="BD146" s="584"/>
      <c r="BE146" s="584"/>
      <c r="BF146" s="584"/>
      <c r="BG146" s="663"/>
      <c r="BH146" s="584"/>
      <c r="BI146" s="584"/>
      <c r="BJ146" s="584"/>
      <c r="BK146" s="584"/>
      <c r="BL146" s="584"/>
      <c r="BM146" s="584"/>
      <c r="BN146" s="584"/>
      <c r="BO146" s="584"/>
      <c r="BP146" s="584"/>
      <c r="BQ146" s="584"/>
      <c r="BR146" s="584"/>
      <c r="BS146" s="584"/>
      <c r="BT146" s="584"/>
      <c r="BU146" s="584"/>
    </row>
    <row r="147" spans="1:73" s="878" customFormat="1" hidden="1" outlineLevel="1">
      <c r="A147" s="933"/>
      <c r="B147" s="933"/>
      <c r="C147" s="581"/>
      <c r="D147" s="723"/>
      <c r="E147" s="878" t="s">
        <v>83</v>
      </c>
      <c r="F147" s="893"/>
      <c r="G147" s="893"/>
      <c r="S147" s="684"/>
      <c r="T147" s="684"/>
      <c r="U147" s="684"/>
      <c r="V147" s="684"/>
      <c r="W147" s="684"/>
      <c r="X147" s="684"/>
      <c r="Y147" s="684"/>
      <c r="Z147" s="684"/>
      <c r="AA147" s="684"/>
      <c r="AB147" s="684"/>
      <c r="AC147" s="631"/>
      <c r="AD147" s="631"/>
      <c r="AE147" s="631"/>
      <c r="AF147" s="631"/>
      <c r="AG147" s="684"/>
      <c r="AH147" s="684"/>
      <c r="AI147" s="721" t="s">
        <v>40</v>
      </c>
      <c r="AJ147" s="721"/>
      <c r="AK147" s="663"/>
      <c r="AL147" s="663"/>
      <c r="AM147" s="726">
        <f t="shared" ref="AM147:AO149" si="204">AM142*AM$126</f>
        <v>0</v>
      </c>
      <c r="AN147" s="726">
        <f t="shared" si="204"/>
        <v>0</v>
      </c>
      <c r="AO147" s="726">
        <f t="shared" si="204"/>
        <v>0</v>
      </c>
      <c r="AP147" s="727" t="e">
        <f>AP142*AP$126</f>
        <v>#N/A</v>
      </c>
      <c r="AQ147" s="727" t="e">
        <f t="shared" ref="AQ147:AS149" si="205">AQ142*AQ$126</f>
        <v>#N/A</v>
      </c>
      <c r="AR147" s="727" t="e">
        <f t="shared" si="205"/>
        <v>#N/A</v>
      </c>
      <c r="AS147" s="727" t="e">
        <f t="shared" si="205"/>
        <v>#DIV/0!</v>
      </c>
      <c r="AT147" s="727" t="e">
        <f t="shared" si="203"/>
        <v>#N/A</v>
      </c>
      <c r="AU147" s="727" t="e">
        <f t="shared" si="203"/>
        <v>#N/A</v>
      </c>
      <c r="AV147" s="727" t="e">
        <f t="shared" si="203"/>
        <v>#N/A</v>
      </c>
      <c r="AW147" s="728"/>
      <c r="AX147" s="728">
        <v>0</v>
      </c>
      <c r="AY147" s="663"/>
      <c r="AZ147" s="589"/>
      <c r="BA147" s="589"/>
      <c r="BB147" s="589"/>
      <c r="BC147" s="589"/>
      <c r="BD147" s="584"/>
      <c r="BE147" s="584"/>
      <c r="BF147" s="584"/>
      <c r="BG147" s="663"/>
      <c r="BH147" s="584"/>
      <c r="BI147" s="584"/>
      <c r="BJ147" s="584"/>
      <c r="BK147" s="584"/>
      <c r="BL147" s="584"/>
      <c r="BM147" s="584"/>
      <c r="BN147" s="584"/>
      <c r="BO147" s="584"/>
      <c r="BP147" s="584"/>
      <c r="BQ147" s="584"/>
      <c r="BR147" s="584"/>
      <c r="BS147" s="584"/>
      <c r="BT147" s="584"/>
      <c r="BU147" s="584"/>
    </row>
    <row r="148" spans="1:73" s="878" customFormat="1" hidden="1" outlineLevel="1">
      <c r="A148" s="933"/>
      <c r="B148" s="933"/>
      <c r="C148" s="581"/>
      <c r="D148" s="723"/>
      <c r="E148" s="892" t="s">
        <v>379</v>
      </c>
      <c r="F148" s="893"/>
      <c r="G148" s="893"/>
      <c r="S148" s="684"/>
      <c r="T148" s="684"/>
      <c r="U148" s="684"/>
      <c r="V148" s="684"/>
      <c r="W148" s="684"/>
      <c r="X148" s="684"/>
      <c r="Y148" s="684"/>
      <c r="Z148" s="684"/>
      <c r="AA148" s="684"/>
      <c r="AB148" s="684"/>
      <c r="AC148" s="631"/>
      <c r="AD148" s="631"/>
      <c r="AE148" s="631"/>
      <c r="AF148" s="631"/>
      <c r="AG148" s="684"/>
      <c r="AH148" s="684"/>
      <c r="AI148" s="721" t="s">
        <v>42</v>
      </c>
      <c r="AJ148" s="721"/>
      <c r="AK148" s="663"/>
      <c r="AL148" s="663"/>
      <c r="AM148" s="726">
        <f t="shared" si="204"/>
        <v>0</v>
      </c>
      <c r="AN148" s="726">
        <f t="shared" si="204"/>
        <v>0</v>
      </c>
      <c r="AO148" s="726">
        <f t="shared" si="204"/>
        <v>0</v>
      </c>
      <c r="AP148" s="727" t="e">
        <f>AP143*AP$126</f>
        <v>#N/A</v>
      </c>
      <c r="AQ148" s="727" t="e">
        <f t="shared" si="205"/>
        <v>#N/A</v>
      </c>
      <c r="AR148" s="727" t="e">
        <f t="shared" si="205"/>
        <v>#N/A</v>
      </c>
      <c r="AS148" s="727" t="e">
        <f t="shared" si="205"/>
        <v>#DIV/0!</v>
      </c>
      <c r="AT148" s="727" t="e">
        <f t="shared" si="203"/>
        <v>#N/A</v>
      </c>
      <c r="AU148" s="727" t="e">
        <f t="shared" si="203"/>
        <v>#N/A</v>
      </c>
      <c r="AV148" s="727" t="e">
        <f t="shared" si="203"/>
        <v>#N/A</v>
      </c>
      <c r="AW148" s="728"/>
      <c r="AX148" s="728">
        <v>0</v>
      </c>
      <c r="AY148" s="663"/>
      <c r="AZ148" s="589"/>
      <c r="BA148" s="589"/>
      <c r="BB148" s="589"/>
      <c r="BC148" s="589"/>
      <c r="BD148" s="584"/>
      <c r="BE148" s="584"/>
      <c r="BF148" s="584"/>
      <c r="BG148" s="663"/>
      <c r="BH148" s="584"/>
      <c r="BI148" s="584"/>
      <c r="BJ148" s="584"/>
      <c r="BK148" s="584"/>
      <c r="BL148" s="584"/>
      <c r="BM148" s="584"/>
      <c r="BN148" s="584"/>
      <c r="BO148" s="584"/>
      <c r="BP148" s="584"/>
      <c r="BQ148" s="584"/>
      <c r="BR148" s="584"/>
      <c r="BS148" s="584"/>
      <c r="BT148" s="584"/>
      <c r="BU148" s="584"/>
    </row>
    <row r="149" spans="1:73" s="878" customFormat="1" hidden="1" outlineLevel="1">
      <c r="A149" s="933"/>
      <c r="B149" s="933"/>
      <c r="C149" s="581"/>
      <c r="D149" s="723"/>
      <c r="E149" s="878" t="s">
        <v>84</v>
      </c>
      <c r="F149" s="893"/>
      <c r="G149" s="893"/>
      <c r="S149" s="684"/>
      <c r="T149" s="684"/>
      <c r="U149" s="684"/>
      <c r="V149" s="684"/>
      <c r="W149" s="684"/>
      <c r="X149" s="684"/>
      <c r="Y149" s="684"/>
      <c r="Z149" s="684"/>
      <c r="AA149" s="684"/>
      <c r="AB149" s="684"/>
      <c r="AC149" s="631"/>
      <c r="AD149" s="631"/>
      <c r="AE149" s="631"/>
      <c r="AF149" s="631"/>
      <c r="AG149" s="684"/>
      <c r="AH149" s="684"/>
      <c r="AI149" s="721" t="s">
        <v>51</v>
      </c>
      <c r="AJ149" s="721"/>
      <c r="AK149" s="663"/>
      <c r="AL149" s="663"/>
      <c r="AM149" s="729">
        <f t="shared" si="204"/>
        <v>0</v>
      </c>
      <c r="AN149" s="729">
        <f t="shared" si="204"/>
        <v>0</v>
      </c>
      <c r="AO149" s="729">
        <f t="shared" si="204"/>
        <v>0</v>
      </c>
      <c r="AP149" s="730" t="e">
        <f>AP144*AP$126</f>
        <v>#N/A</v>
      </c>
      <c r="AQ149" s="730" t="e">
        <f t="shared" si="205"/>
        <v>#N/A</v>
      </c>
      <c r="AR149" s="730" t="e">
        <f t="shared" si="205"/>
        <v>#N/A</v>
      </c>
      <c r="AS149" s="730" t="e">
        <f t="shared" si="205"/>
        <v>#DIV/0!</v>
      </c>
      <c r="AT149" s="730" t="e">
        <f t="shared" si="203"/>
        <v>#N/A</v>
      </c>
      <c r="AU149" s="730" t="e">
        <f t="shared" si="203"/>
        <v>#N/A</v>
      </c>
      <c r="AV149" s="730" t="e">
        <f t="shared" si="203"/>
        <v>#N/A</v>
      </c>
      <c r="AW149" s="728"/>
      <c r="AX149" s="728">
        <v>0</v>
      </c>
      <c r="AY149" s="663"/>
      <c r="AZ149" s="589"/>
      <c r="BA149" s="589"/>
      <c r="BB149" s="589"/>
      <c r="BC149" s="589"/>
      <c r="BD149" s="584"/>
      <c r="BE149" s="584"/>
      <c r="BF149" s="584"/>
      <c r="BG149" s="663"/>
      <c r="BH149" s="584"/>
      <c r="BI149" s="584"/>
      <c r="BJ149" s="584"/>
      <c r="BK149" s="584"/>
      <c r="BL149" s="584"/>
      <c r="BM149" s="584"/>
      <c r="BN149" s="584"/>
      <c r="BO149" s="584"/>
      <c r="BP149" s="584"/>
      <c r="BQ149" s="584"/>
      <c r="BR149" s="584"/>
      <c r="BS149" s="584"/>
      <c r="BT149" s="584"/>
      <c r="BU149" s="584"/>
    </row>
    <row r="150" spans="1:73" s="878" customFormat="1" collapsed="1">
      <c r="A150" s="933"/>
      <c r="B150" s="933"/>
      <c r="C150" s="581"/>
      <c r="D150" s="723"/>
      <c r="F150" s="893"/>
      <c r="G150" s="893"/>
      <c r="S150" s="684"/>
      <c r="T150" s="684"/>
      <c r="U150" s="684"/>
      <c r="V150" s="684"/>
      <c r="W150" s="684"/>
      <c r="X150" s="684"/>
      <c r="Y150" s="684"/>
      <c r="Z150" s="684"/>
      <c r="AA150" s="684"/>
      <c r="AB150" s="684"/>
      <c r="AC150" s="631"/>
      <c r="AD150" s="631"/>
      <c r="AE150" s="631"/>
      <c r="AF150" s="631"/>
      <c r="AG150" s="684"/>
      <c r="AH150" s="684"/>
      <c r="AI150" s="663"/>
      <c r="AJ150" s="663"/>
      <c r="AK150" s="663"/>
      <c r="AL150" s="663"/>
      <c r="AM150" s="663"/>
      <c r="AN150" s="663"/>
      <c r="AO150" s="663"/>
      <c r="AP150" s="663"/>
      <c r="AQ150" s="588"/>
      <c r="AR150" s="663"/>
      <c r="AS150" s="663"/>
      <c r="AT150" s="663"/>
      <c r="AU150" s="663"/>
      <c r="AV150" s="663"/>
      <c r="AW150" s="663"/>
      <c r="AX150" s="663"/>
      <c r="AY150" s="663"/>
      <c r="AZ150" s="589"/>
      <c r="BA150" s="589"/>
      <c r="BB150" s="589"/>
      <c r="BC150" s="589"/>
      <c r="BD150" s="584"/>
      <c r="BE150" s="584"/>
      <c r="BF150" s="584"/>
      <c r="BG150" s="663"/>
      <c r="BH150" s="584"/>
      <c r="BI150" s="584"/>
      <c r="BJ150" s="584"/>
      <c r="BK150" s="584"/>
      <c r="BL150" s="584"/>
      <c r="BM150" s="584"/>
      <c r="BN150" s="584"/>
      <c r="BO150" s="584"/>
      <c r="BP150" s="584"/>
      <c r="BQ150" s="584"/>
      <c r="BR150" s="584"/>
      <c r="BS150" s="584"/>
      <c r="BT150" s="584"/>
      <c r="BU150" s="584"/>
    </row>
    <row r="151" spans="1:73" s="878" customFormat="1" hidden="1" outlineLevel="1">
      <c r="A151" s="933"/>
      <c r="B151" s="933"/>
      <c r="C151" s="581"/>
      <c r="D151" s="723"/>
      <c r="E151" s="892" t="s">
        <v>337</v>
      </c>
      <c r="F151" s="893"/>
      <c r="G151" s="893"/>
      <c r="H151" s="894"/>
      <c r="S151" s="684"/>
      <c r="T151" s="684"/>
      <c r="U151" s="684"/>
      <c r="V151" s="684"/>
      <c r="W151" s="684"/>
      <c r="X151" s="684"/>
      <c r="Y151" s="684"/>
      <c r="Z151" s="684"/>
      <c r="AA151" s="684"/>
      <c r="AB151" s="684"/>
      <c r="AC151" s="631"/>
      <c r="AD151" s="631"/>
      <c r="AE151" s="631"/>
      <c r="AF151" s="631"/>
      <c r="AG151" s="684"/>
      <c r="AH151" s="684"/>
      <c r="AI151" s="663"/>
      <c r="AJ151" s="663"/>
      <c r="AK151" s="663"/>
      <c r="AL151" s="663"/>
      <c r="AM151" s="663"/>
      <c r="AN151" s="663"/>
      <c r="AO151" s="663"/>
      <c r="AP151" s="663"/>
      <c r="AQ151" s="588"/>
      <c r="AR151" s="663"/>
      <c r="AS151" s="663"/>
      <c r="AT151" s="663"/>
      <c r="AU151" s="663"/>
      <c r="AV151" s="663"/>
      <c r="AW151" s="663"/>
      <c r="AX151" s="663"/>
      <c r="AY151" s="663"/>
      <c r="AZ151" s="589"/>
      <c r="BA151" s="589"/>
      <c r="BB151" s="589"/>
      <c r="BC151" s="589"/>
      <c r="BD151" s="584"/>
      <c r="BE151" s="584"/>
      <c r="BF151" s="584"/>
      <c r="BG151" s="663"/>
      <c r="BH151" s="584"/>
      <c r="BI151" s="584"/>
      <c r="BJ151" s="584"/>
      <c r="BK151" s="584"/>
      <c r="BL151" s="584"/>
      <c r="BM151" s="584"/>
      <c r="BN151" s="584"/>
      <c r="BO151" s="584"/>
      <c r="BP151" s="584"/>
      <c r="BQ151" s="584"/>
      <c r="BR151" s="584"/>
      <c r="BS151" s="584"/>
      <c r="BT151" s="584"/>
      <c r="BU151" s="584"/>
    </row>
    <row r="152" spans="1:73" s="878" customFormat="1" hidden="1" outlineLevel="1">
      <c r="A152" s="933"/>
      <c r="B152" s="933"/>
      <c r="C152" s="581"/>
      <c r="D152" s="723"/>
      <c r="E152" s="892" t="s">
        <v>338</v>
      </c>
      <c r="F152" s="893"/>
      <c r="G152" s="893"/>
      <c r="H152" s="895"/>
      <c r="S152" s="684"/>
      <c r="T152" s="684"/>
      <c r="U152" s="684"/>
      <c r="V152" s="684"/>
      <c r="W152" s="684"/>
      <c r="X152" s="684"/>
      <c r="Y152" s="684"/>
      <c r="Z152" s="684"/>
      <c r="AA152" s="684"/>
      <c r="AB152" s="684"/>
      <c r="AC152" s="631"/>
      <c r="AD152" s="631"/>
      <c r="AE152" s="631"/>
      <c r="AF152" s="631"/>
      <c r="AG152" s="684"/>
      <c r="AH152" s="684"/>
      <c r="AI152" s="663"/>
      <c r="AJ152" s="663"/>
      <c r="AK152" s="663"/>
      <c r="AL152" s="663"/>
      <c r="AM152" s="663"/>
      <c r="AN152" s="663"/>
      <c r="AO152" s="663"/>
      <c r="AP152" s="663"/>
      <c r="AQ152" s="588"/>
      <c r="AR152" s="663"/>
      <c r="AS152" s="663"/>
      <c r="AT152" s="663"/>
      <c r="AU152" s="663"/>
      <c r="AV152" s="663"/>
      <c r="AW152" s="663"/>
      <c r="AX152" s="663"/>
      <c r="AY152" s="663"/>
      <c r="AZ152" s="589"/>
      <c r="BA152" s="589"/>
      <c r="BB152" s="589"/>
      <c r="BC152" s="589"/>
      <c r="BD152" s="584"/>
      <c r="BE152" s="584"/>
      <c r="BF152" s="584"/>
      <c r="BG152" s="663"/>
      <c r="BH152" s="584"/>
      <c r="BI152" s="584"/>
      <c r="BJ152" s="584"/>
      <c r="BK152" s="584"/>
      <c r="BL152" s="584"/>
      <c r="BM152" s="584"/>
      <c r="BN152" s="584"/>
      <c r="BO152" s="584"/>
      <c r="BP152" s="584"/>
      <c r="BQ152" s="584"/>
      <c r="BR152" s="584"/>
      <c r="BS152" s="584"/>
      <c r="BT152" s="584"/>
      <c r="BU152" s="584"/>
    </row>
    <row r="153" spans="1:73" s="878" customFormat="1" hidden="1" outlineLevel="1" collapsed="1">
      <c r="A153" s="933"/>
      <c r="B153" s="933"/>
      <c r="C153" s="581"/>
      <c r="D153" s="723"/>
      <c r="E153" s="878" t="s">
        <v>339</v>
      </c>
      <c r="F153" s="893"/>
      <c r="G153" s="893"/>
      <c r="H153" s="893"/>
      <c r="S153" s="684"/>
      <c r="T153" s="684"/>
      <c r="U153" s="684"/>
      <c r="V153" s="684"/>
      <c r="W153" s="684"/>
      <c r="X153" s="684"/>
      <c r="Y153" s="684"/>
      <c r="Z153" s="684"/>
      <c r="AA153" s="684"/>
      <c r="AB153" s="684"/>
      <c r="AC153" s="631"/>
      <c r="AD153" s="631"/>
      <c r="AE153" s="631"/>
      <c r="AF153" s="631"/>
      <c r="AG153" s="684"/>
      <c r="AH153" s="684"/>
      <c r="AI153" s="663"/>
      <c r="AJ153" s="663"/>
      <c r="AK153" s="663"/>
      <c r="AL153" s="663"/>
      <c r="AM153" s="663"/>
      <c r="AN153" s="663"/>
      <c r="AO153" s="663"/>
      <c r="AP153" s="663"/>
      <c r="AQ153" s="588"/>
      <c r="AR153" s="663"/>
      <c r="AS153" s="663"/>
      <c r="AT153" s="663"/>
      <c r="AU153" s="663"/>
      <c r="AV153" s="663"/>
      <c r="AW153" s="663"/>
      <c r="AX153" s="663"/>
      <c r="AY153" s="663"/>
      <c r="AZ153" s="589"/>
      <c r="BA153" s="589"/>
      <c r="BB153" s="589"/>
      <c r="BC153" s="589"/>
      <c r="BD153" s="584"/>
      <c r="BE153" s="584"/>
      <c r="BF153" s="584"/>
      <c r="BG153" s="663"/>
      <c r="BH153" s="584"/>
      <c r="BI153" s="584"/>
      <c r="BJ153" s="584"/>
      <c r="BK153" s="584"/>
      <c r="BL153" s="584"/>
      <c r="BM153" s="584"/>
      <c r="BN153" s="584"/>
      <c r="BO153" s="584"/>
      <c r="BP153" s="584"/>
      <c r="BQ153" s="584"/>
      <c r="BR153" s="584"/>
      <c r="BS153" s="584"/>
      <c r="BT153" s="584"/>
      <c r="BU153" s="584"/>
    </row>
    <row r="154" spans="1:73" collapsed="1">
      <c r="C154" s="936"/>
      <c r="S154" s="731" t="s">
        <v>643</v>
      </c>
    </row>
    <row r="155" spans="1:73">
      <c r="C155" s="936"/>
      <c r="S155" s="733" t="s">
        <v>644</v>
      </c>
    </row>
    <row r="156" spans="1:73">
      <c r="C156" s="937"/>
      <c r="S156" s="734" t="s">
        <v>645</v>
      </c>
    </row>
    <row r="157" spans="1:73">
      <c r="C157" s="931"/>
      <c r="S157" s="735" t="s">
        <v>646</v>
      </c>
    </row>
    <row r="158" spans="1:73">
      <c r="S158" s="736" t="s">
        <v>1639</v>
      </c>
    </row>
  </sheetData>
  <sheetProtection algorithmName="SHA-512" hashValue="fwa31VnG8PKtChudhY2ufOcPHzAMA64YLL3c4DVy9fjnBOkdAzeE5tpRjLA1soxDDvRgKIftnLQCWuvg8pN1xA==" saltValue="v7dE8ftYC8xDdQhh8NCebw==" spinCount="100000" sheet="1" selectLockedCells="1"/>
  <autoFilter ref="A2:BV157" xr:uid="{389BE65B-5AD5-4420-B8F7-CE78242DFB91}"/>
  <phoneticPr fontId="0" type="noConversion"/>
  <conditionalFormatting sqref="F141:G141 L141">
    <cfRule type="cellIs" dxfId="69" priority="185" stopIfTrue="1" operator="greaterThan">
      <formula>0.5</formula>
    </cfRule>
  </conditionalFormatting>
  <conditionalFormatting sqref="AZ53:AZ91 AZ25:AZ51">
    <cfRule type="cellIs" dxfId="68" priority="184" operator="greaterThan">
      <formula>$AZ$126/10</formula>
    </cfRule>
  </conditionalFormatting>
  <conditionalFormatting sqref="BF100:BF101">
    <cfRule type="dataBar" priority="157">
      <dataBar>
        <cfvo type="min"/>
        <cfvo type="max"/>
        <color rgb="FFFFB628"/>
      </dataBar>
      <extLst>
        <ext xmlns:x14="http://schemas.microsoft.com/office/spreadsheetml/2009/9/main" uri="{B025F937-C7B1-47D3-B67F-A62EFF666E3E}">
          <x14:id>{80E0A435-4233-4311-84D0-7318C04E412A}</x14:id>
        </ext>
      </extLst>
    </cfRule>
  </conditionalFormatting>
  <conditionalFormatting sqref="BE100:BE101">
    <cfRule type="dataBar" priority="158">
      <dataBar>
        <cfvo type="min"/>
        <cfvo type="max"/>
        <color rgb="FF638EC6"/>
      </dataBar>
      <extLst>
        <ext xmlns:x14="http://schemas.microsoft.com/office/spreadsheetml/2009/9/main" uri="{B025F937-C7B1-47D3-B67F-A62EFF666E3E}">
          <x14:id>{25C58337-7074-46E3-A1A6-6A677B88C27F}</x14:id>
        </ext>
      </extLst>
    </cfRule>
  </conditionalFormatting>
  <conditionalFormatting sqref="BF103:BF105">
    <cfRule type="dataBar" priority="152">
      <dataBar>
        <cfvo type="min"/>
        <cfvo type="max"/>
        <color rgb="FFFFB628"/>
      </dataBar>
      <extLst>
        <ext xmlns:x14="http://schemas.microsoft.com/office/spreadsheetml/2009/9/main" uri="{B025F937-C7B1-47D3-B67F-A62EFF666E3E}">
          <x14:id>{4C709EBE-23A5-4AEC-BB4A-055B9C06A064}</x14:id>
        </ext>
      </extLst>
    </cfRule>
  </conditionalFormatting>
  <conditionalFormatting sqref="BE103:BE105">
    <cfRule type="dataBar" priority="153">
      <dataBar>
        <cfvo type="min"/>
        <cfvo type="max"/>
        <color rgb="FF638EC6"/>
      </dataBar>
      <extLst>
        <ext xmlns:x14="http://schemas.microsoft.com/office/spreadsheetml/2009/9/main" uri="{B025F937-C7B1-47D3-B67F-A62EFF666E3E}">
          <x14:id>{87A541B9-8139-488F-9591-096EDB6B17BE}</x14:id>
        </ext>
      </extLst>
    </cfRule>
  </conditionalFormatting>
  <conditionalFormatting sqref="BF111">
    <cfRule type="dataBar" priority="141">
      <dataBar>
        <cfvo type="min"/>
        <cfvo type="max"/>
        <color rgb="FFFFB628"/>
      </dataBar>
      <extLst>
        <ext xmlns:x14="http://schemas.microsoft.com/office/spreadsheetml/2009/9/main" uri="{B025F937-C7B1-47D3-B67F-A62EFF666E3E}">
          <x14:id>{ED7664D6-2636-47BB-A68C-7F7E7F24589E}</x14:id>
        </ext>
      </extLst>
    </cfRule>
  </conditionalFormatting>
  <conditionalFormatting sqref="BE111">
    <cfRule type="dataBar" priority="142">
      <dataBar>
        <cfvo type="min"/>
        <cfvo type="max"/>
        <color rgb="FF638EC6"/>
      </dataBar>
      <extLst>
        <ext xmlns:x14="http://schemas.microsoft.com/office/spreadsheetml/2009/9/main" uri="{B025F937-C7B1-47D3-B67F-A62EFF666E3E}">
          <x14:id>{3AF0D393-16A1-451F-B820-E6918EE35FB1}</x14:id>
        </ext>
      </extLst>
    </cfRule>
  </conditionalFormatting>
  <conditionalFormatting sqref="BF124:BF125 BF112:BF116 BF8:BF23 BF102 BF106:BF110 BF93:BF98 BF53:BF91 BF25:BF51">
    <cfRule type="dataBar" priority="252">
      <dataBar>
        <cfvo type="min"/>
        <cfvo type="max"/>
        <color rgb="FFFFB628"/>
      </dataBar>
      <extLst>
        <ext xmlns:x14="http://schemas.microsoft.com/office/spreadsheetml/2009/9/main" uri="{B025F937-C7B1-47D3-B67F-A62EFF666E3E}">
          <x14:id>{EC0585F8-D218-4004-B80B-8452366C0B58}</x14:id>
        </ext>
      </extLst>
    </cfRule>
  </conditionalFormatting>
  <conditionalFormatting sqref="BE124:BE125 BE112:BE116 BE8:BE23 BE102 BE106:BE110 BE93:BE98 BE53:BE91 BE25:BE51">
    <cfRule type="dataBar" priority="259">
      <dataBar>
        <cfvo type="min"/>
        <cfvo type="max"/>
        <color rgb="FF638EC6"/>
      </dataBar>
      <extLst>
        <ext xmlns:x14="http://schemas.microsoft.com/office/spreadsheetml/2009/9/main" uri="{B025F937-C7B1-47D3-B67F-A62EFF666E3E}">
          <x14:id>{6560A526-4304-4290-B40F-DD90C8B4E541}</x14:id>
        </ext>
      </extLst>
    </cfRule>
  </conditionalFormatting>
  <conditionalFormatting sqref="BF118:BF119">
    <cfRule type="dataBar" priority="128">
      <dataBar>
        <cfvo type="min"/>
        <cfvo type="max"/>
        <color rgb="FFFFB628"/>
      </dataBar>
      <extLst>
        <ext xmlns:x14="http://schemas.microsoft.com/office/spreadsheetml/2009/9/main" uri="{B025F937-C7B1-47D3-B67F-A62EFF666E3E}">
          <x14:id>{57AD54D1-EDA6-4765-9338-138A829E4E9A}</x14:id>
        </ext>
      </extLst>
    </cfRule>
  </conditionalFormatting>
  <conditionalFormatting sqref="BE118:BE119">
    <cfRule type="dataBar" priority="129">
      <dataBar>
        <cfvo type="min"/>
        <cfvo type="max"/>
        <color rgb="FF638EC6"/>
      </dataBar>
      <extLst>
        <ext xmlns:x14="http://schemas.microsoft.com/office/spreadsheetml/2009/9/main" uri="{B025F937-C7B1-47D3-B67F-A62EFF666E3E}">
          <x14:id>{6546EC2F-FBBA-45FA-ADDB-D24D33B3E9B5}</x14:id>
        </ext>
      </extLst>
    </cfRule>
  </conditionalFormatting>
  <conditionalFormatting sqref="BF121:BF122">
    <cfRule type="dataBar" priority="125">
      <dataBar>
        <cfvo type="min"/>
        <cfvo type="max"/>
        <color rgb="FFFFB628"/>
      </dataBar>
      <extLst>
        <ext xmlns:x14="http://schemas.microsoft.com/office/spreadsheetml/2009/9/main" uri="{B025F937-C7B1-47D3-B67F-A62EFF666E3E}">
          <x14:id>{EFEA5981-C017-45D9-AEA9-A6C3607877E8}</x14:id>
        </ext>
      </extLst>
    </cfRule>
  </conditionalFormatting>
  <conditionalFormatting sqref="BE121:BE122">
    <cfRule type="dataBar" priority="126">
      <dataBar>
        <cfvo type="min"/>
        <cfvo type="max"/>
        <color rgb="FF638EC6"/>
      </dataBar>
      <extLst>
        <ext xmlns:x14="http://schemas.microsoft.com/office/spreadsheetml/2009/9/main" uri="{B025F937-C7B1-47D3-B67F-A62EFF666E3E}">
          <x14:id>{FFCF8DB5-3600-4E7E-83DE-1956DC4F3D1E}</x14:id>
        </ext>
      </extLst>
    </cfRule>
  </conditionalFormatting>
  <conditionalFormatting sqref="BF120">
    <cfRule type="dataBar" priority="270">
      <dataBar>
        <cfvo type="min"/>
        <cfvo type="max"/>
        <color rgb="FFFFB628"/>
      </dataBar>
      <extLst>
        <ext xmlns:x14="http://schemas.microsoft.com/office/spreadsheetml/2009/9/main" uri="{B025F937-C7B1-47D3-B67F-A62EFF666E3E}">
          <x14:id>{A7CCF37E-D526-4C4E-887D-8A4C72962347}</x14:id>
        </ext>
      </extLst>
    </cfRule>
  </conditionalFormatting>
  <conditionalFormatting sqref="BE120">
    <cfRule type="dataBar" priority="271">
      <dataBar>
        <cfvo type="min"/>
        <cfvo type="max"/>
        <color rgb="FF638EC6"/>
      </dataBar>
      <extLst>
        <ext xmlns:x14="http://schemas.microsoft.com/office/spreadsheetml/2009/9/main" uri="{B025F937-C7B1-47D3-B67F-A62EFF666E3E}">
          <x14:id>{171290AC-A92B-48F2-8E82-439E7946528E}</x14:id>
        </ext>
      </extLst>
    </cfRule>
  </conditionalFormatting>
  <conditionalFormatting sqref="AZ52">
    <cfRule type="cellIs" dxfId="67" priority="81" operator="greaterThan">
      <formula>$AZ$126/10</formula>
    </cfRule>
  </conditionalFormatting>
  <conditionalFormatting sqref="BF52">
    <cfRule type="dataBar" priority="82">
      <dataBar>
        <cfvo type="min"/>
        <cfvo type="max"/>
        <color rgb="FFFFB628"/>
      </dataBar>
      <extLst>
        <ext xmlns:x14="http://schemas.microsoft.com/office/spreadsheetml/2009/9/main" uri="{B025F937-C7B1-47D3-B67F-A62EFF666E3E}">
          <x14:id>{3D174EB0-2C3B-4562-97DF-D80CE693F02D}</x14:id>
        </ext>
      </extLst>
    </cfRule>
  </conditionalFormatting>
  <conditionalFormatting sqref="BE52">
    <cfRule type="dataBar" priority="83">
      <dataBar>
        <cfvo type="min"/>
        <cfvo type="max"/>
        <color rgb="FF638EC6"/>
      </dataBar>
      <extLst>
        <ext xmlns:x14="http://schemas.microsoft.com/office/spreadsheetml/2009/9/main" uri="{B025F937-C7B1-47D3-B67F-A62EFF666E3E}">
          <x14:id>{7BFCD251-23F1-4E66-BF75-B9B71373101E}</x14:id>
        </ext>
      </extLst>
    </cfRule>
  </conditionalFormatting>
  <conditionalFormatting sqref="G25:G90">
    <cfRule type="expression" dxfId="66" priority="50">
      <formula>Standort=5</formula>
    </cfRule>
    <cfRule type="expression" dxfId="65" priority="51">
      <formula>Standort=4</formula>
    </cfRule>
    <cfRule type="expression" dxfId="64" priority="52">
      <formula>Standort=3</formula>
    </cfRule>
    <cfRule type="expression" dxfId="63" priority="53">
      <formula>OR(Standort=2,Standort=6)</formula>
    </cfRule>
    <cfRule type="expression" dxfId="62" priority="54">
      <formula>Standort=1</formula>
    </cfRule>
  </conditionalFormatting>
  <conditionalFormatting sqref="F135">
    <cfRule type="expression" dxfId="61" priority="31">
      <formula>Standort=5</formula>
    </cfRule>
    <cfRule type="expression" dxfId="60" priority="32">
      <formula>Standort=4</formula>
    </cfRule>
    <cfRule type="expression" dxfId="59" priority="33">
      <formula>Standort=3</formula>
    </cfRule>
    <cfRule type="expression" dxfId="58" priority="34">
      <formula>Standort=2</formula>
    </cfRule>
    <cfRule type="expression" dxfId="57" priority="35">
      <formula>Standort=1</formula>
    </cfRule>
  </conditionalFormatting>
  <conditionalFormatting sqref="F131">
    <cfRule type="expression" dxfId="56" priority="26">
      <formula>Standort=5</formula>
    </cfRule>
    <cfRule type="expression" dxfId="55" priority="27">
      <formula>Standort=4</formula>
    </cfRule>
    <cfRule type="expression" dxfId="54" priority="28">
      <formula>Standort=3</formula>
    </cfRule>
    <cfRule type="expression" dxfId="53" priority="29">
      <formula>Standort=2</formula>
    </cfRule>
    <cfRule type="expression" dxfId="52" priority="30">
      <formula>Standort=1</formula>
    </cfRule>
  </conditionalFormatting>
  <conditionalFormatting sqref="F132:F134">
    <cfRule type="expression" dxfId="51" priority="21">
      <formula>Standort=5</formula>
    </cfRule>
    <cfRule type="expression" dxfId="50" priority="22">
      <formula>Standort=4</formula>
    </cfRule>
    <cfRule type="expression" dxfId="49" priority="23">
      <formula>Standort=3</formula>
    </cfRule>
    <cfRule type="expression" dxfId="48" priority="24">
      <formula>Standort=2</formula>
    </cfRule>
    <cfRule type="expression" dxfId="47" priority="25">
      <formula>Standort=1</formula>
    </cfRule>
  </conditionalFormatting>
  <conditionalFormatting sqref="BD8:BD23">
    <cfRule type="dataBar" priority="373">
      <dataBar>
        <cfvo type="min"/>
        <cfvo type="max"/>
        <color rgb="FF638EC6"/>
      </dataBar>
      <extLst>
        <ext xmlns:x14="http://schemas.microsoft.com/office/spreadsheetml/2009/9/main" uri="{B025F937-C7B1-47D3-B67F-A62EFF666E3E}">
          <x14:id>{38551D66-818B-419F-AA12-395A6C8CF1F4}</x14:id>
        </ext>
      </extLst>
    </cfRule>
  </conditionalFormatting>
  <conditionalFormatting sqref="BF92">
    <cfRule type="dataBar" priority="375">
      <dataBar>
        <cfvo type="min"/>
        <cfvo type="max"/>
        <color rgb="FFFFB628"/>
      </dataBar>
      <extLst>
        <ext xmlns:x14="http://schemas.microsoft.com/office/spreadsheetml/2009/9/main" uri="{B025F937-C7B1-47D3-B67F-A62EFF666E3E}">
          <x14:id>{7A5C5BEE-C3C6-46E8-85D7-FEAD9F53538C}</x14:id>
        </ext>
      </extLst>
    </cfRule>
  </conditionalFormatting>
  <conditionalFormatting sqref="BE92">
    <cfRule type="dataBar" priority="376">
      <dataBar>
        <cfvo type="min"/>
        <cfvo type="max"/>
        <color rgb="FF638EC6"/>
      </dataBar>
      <extLst>
        <ext xmlns:x14="http://schemas.microsoft.com/office/spreadsheetml/2009/9/main" uri="{B025F937-C7B1-47D3-B67F-A62EFF666E3E}">
          <x14:id>{F2C2A9FF-6C8D-4E05-894E-438FF453A81D}</x14:id>
        </ext>
      </extLst>
    </cfRule>
  </conditionalFormatting>
  <conditionalFormatting sqref="BF99">
    <cfRule type="dataBar" priority="378">
      <dataBar>
        <cfvo type="min"/>
        <cfvo type="max"/>
        <color rgb="FFFFB628"/>
      </dataBar>
      <extLst>
        <ext xmlns:x14="http://schemas.microsoft.com/office/spreadsheetml/2009/9/main" uri="{B025F937-C7B1-47D3-B67F-A62EFF666E3E}">
          <x14:id>{12837902-FFF9-4C91-8F3D-74BED8116C34}</x14:id>
        </ext>
      </extLst>
    </cfRule>
  </conditionalFormatting>
  <conditionalFormatting sqref="BE99">
    <cfRule type="dataBar" priority="379">
      <dataBar>
        <cfvo type="min"/>
        <cfvo type="max"/>
        <color rgb="FF638EC6"/>
      </dataBar>
      <extLst>
        <ext xmlns:x14="http://schemas.microsoft.com/office/spreadsheetml/2009/9/main" uri="{B025F937-C7B1-47D3-B67F-A62EFF666E3E}">
          <x14:id>{7953C8C5-1993-46ED-A632-E348D3567861}</x14:id>
        </ext>
      </extLst>
    </cfRule>
  </conditionalFormatting>
  <conditionalFormatting sqref="BF117">
    <cfRule type="dataBar" priority="395">
      <dataBar>
        <cfvo type="min"/>
        <cfvo type="max"/>
        <color rgb="FFFFB628"/>
      </dataBar>
      <extLst>
        <ext xmlns:x14="http://schemas.microsoft.com/office/spreadsheetml/2009/9/main" uri="{B025F937-C7B1-47D3-B67F-A62EFF666E3E}">
          <x14:id>{E7974E87-A402-4AF7-B66B-E5A3C49E9B0E}</x14:id>
        </ext>
      </extLst>
    </cfRule>
  </conditionalFormatting>
  <conditionalFormatting sqref="BE117">
    <cfRule type="dataBar" priority="396">
      <dataBar>
        <cfvo type="min"/>
        <cfvo type="max"/>
        <color rgb="FF638EC6"/>
      </dataBar>
      <extLst>
        <ext xmlns:x14="http://schemas.microsoft.com/office/spreadsheetml/2009/9/main" uri="{B025F937-C7B1-47D3-B67F-A62EFF666E3E}">
          <x14:id>{F380BCC5-F60E-41DD-BAF1-1D6BF0969469}</x14:id>
        </ext>
      </extLst>
    </cfRule>
  </conditionalFormatting>
  <conditionalFormatting sqref="BF123">
    <cfRule type="dataBar" priority="398">
      <dataBar>
        <cfvo type="min"/>
        <cfvo type="max"/>
        <color rgb="FFFFB628"/>
      </dataBar>
      <extLst>
        <ext xmlns:x14="http://schemas.microsoft.com/office/spreadsheetml/2009/9/main" uri="{B025F937-C7B1-47D3-B67F-A62EFF666E3E}">
          <x14:id>{8893FEC2-0BD5-4364-916C-1B01A2CF46A0}</x14:id>
        </ext>
      </extLst>
    </cfRule>
  </conditionalFormatting>
  <conditionalFormatting sqref="BE123">
    <cfRule type="dataBar" priority="399">
      <dataBar>
        <cfvo type="min"/>
        <cfvo type="max"/>
        <color rgb="FF638EC6"/>
      </dataBar>
      <extLst>
        <ext xmlns:x14="http://schemas.microsoft.com/office/spreadsheetml/2009/9/main" uri="{B025F937-C7B1-47D3-B67F-A62EFF666E3E}">
          <x14:id>{20E8764E-18FB-414F-92C3-36C7BE40AFEB}</x14:id>
        </ext>
      </extLst>
    </cfRule>
  </conditionalFormatting>
  <conditionalFormatting sqref="G111:G115">
    <cfRule type="expression" dxfId="46" priority="16">
      <formula>Standort=5</formula>
    </cfRule>
    <cfRule type="expression" dxfId="45" priority="17">
      <formula>Standort=4</formula>
    </cfRule>
    <cfRule type="expression" dxfId="44" priority="18">
      <formula>Standort=3</formula>
    </cfRule>
    <cfRule type="expression" dxfId="43" priority="19">
      <formula>OR(Standort=2,Standort=6)</formula>
    </cfRule>
    <cfRule type="expression" dxfId="42" priority="20">
      <formula>Standort=1</formula>
    </cfRule>
  </conditionalFormatting>
  <conditionalFormatting sqref="G124">
    <cfRule type="expression" dxfId="41" priority="11">
      <formula>Standort=5</formula>
    </cfRule>
    <cfRule type="expression" dxfId="40" priority="12">
      <formula>Standort=4</formula>
    </cfRule>
    <cfRule type="expression" dxfId="39" priority="13">
      <formula>Standort=3</formula>
    </cfRule>
    <cfRule type="expression" dxfId="38" priority="14">
      <formula>OR(Standort=2,Standort=6)</formula>
    </cfRule>
    <cfRule type="expression" dxfId="37" priority="15">
      <formula>Standort=1</formula>
    </cfRule>
  </conditionalFormatting>
  <conditionalFormatting sqref="G126">
    <cfRule type="expression" dxfId="36" priority="6">
      <formula>Standort=5</formula>
    </cfRule>
    <cfRule type="expression" dxfId="35" priority="7">
      <formula>Standort=4</formula>
    </cfRule>
    <cfRule type="expression" dxfId="34" priority="8">
      <formula>Standort=3</formula>
    </cfRule>
    <cfRule type="expression" dxfId="33" priority="9">
      <formula>OR(Standort=2,Standort=6)</formula>
    </cfRule>
    <cfRule type="expression" dxfId="32" priority="10">
      <formula>Standort=1</formula>
    </cfRule>
  </conditionalFormatting>
  <conditionalFormatting sqref="G137:G138">
    <cfRule type="expression" dxfId="31" priority="1">
      <formula>Standort=5</formula>
    </cfRule>
    <cfRule type="expression" dxfId="30" priority="2">
      <formula>Standort=4</formula>
    </cfRule>
    <cfRule type="expression" dxfId="29" priority="3">
      <formula>Standort=3</formula>
    </cfRule>
    <cfRule type="expression" dxfId="28" priority="4">
      <formula>OR(Standort=2,Standort=6)</formula>
    </cfRule>
    <cfRule type="expression" dxfId="27" priority="5">
      <formula>Standort=1</formula>
    </cfRule>
  </conditionalFormatting>
  <hyperlinks>
    <hyperlink ref="E140" location="MainInput!H23" display="MainInput!H23" xr:uid="{6DAD2ECD-BB01-4933-8FAE-15016CA0DDA3}"/>
  </hyperlinks>
  <printOptions horizontalCentered="1" verticalCentered="1"/>
  <pageMargins left="0.78740157480314965" right="0.51181102362204722" top="0.47244094488188981" bottom="0.62992125984251968" header="0.35433070866141736" footer="0.51181102362204722"/>
  <pageSetup paperSize="9" scale="26" orientation="portrait" r:id="rId1"/>
  <headerFooter alignWithMargins="0">
    <oddHeader>&amp;LSubstrates input&amp;Cnaturemade star key parameter model: energy products from biogas plants &amp;R&amp;D</oddHeader>
    <oddFooter>&amp;L(c) ESU-services GmbH&amp;Cwww.esu-services.ch&amp;R&amp;F</oddFooter>
  </headerFooter>
  <legacyDrawing r:id="rId2"/>
  <extLst>
    <ext xmlns:x14="http://schemas.microsoft.com/office/spreadsheetml/2009/9/main" uri="{78C0D931-6437-407d-A8EE-F0AAD7539E65}">
      <x14:conditionalFormattings>
        <x14:conditionalFormatting xmlns:xm="http://schemas.microsoft.com/office/excel/2006/main">
          <x14:cfRule type="dataBar" id="{80E0A435-4233-4311-84D0-7318C04E412A}">
            <x14:dataBar minLength="0" maxLength="100" border="1" negativeBarBorderColorSameAsPositive="0">
              <x14:cfvo type="autoMin"/>
              <x14:cfvo type="autoMax"/>
              <x14:borderColor rgb="FFFFB628"/>
              <x14:negativeFillColor rgb="FFFF0000"/>
              <x14:negativeBorderColor rgb="FFFF0000"/>
              <x14:axisColor rgb="FF000000"/>
            </x14:dataBar>
          </x14:cfRule>
          <xm:sqref>BF100:BF101</xm:sqref>
        </x14:conditionalFormatting>
        <x14:conditionalFormatting xmlns:xm="http://schemas.microsoft.com/office/excel/2006/main">
          <x14:cfRule type="dataBar" id="{25C58337-7074-46E3-A1A6-6A677B88C27F}">
            <x14:dataBar minLength="0" maxLength="100" border="1" negativeBarBorderColorSameAsPositive="0">
              <x14:cfvo type="autoMin"/>
              <x14:cfvo type="autoMax"/>
              <x14:borderColor rgb="FF638EC6"/>
              <x14:negativeFillColor rgb="FFFF0000"/>
              <x14:negativeBorderColor rgb="FFFF0000"/>
              <x14:axisColor rgb="FF000000"/>
            </x14:dataBar>
          </x14:cfRule>
          <xm:sqref>BE100:BE101</xm:sqref>
        </x14:conditionalFormatting>
        <x14:conditionalFormatting xmlns:xm="http://schemas.microsoft.com/office/excel/2006/main">
          <x14:cfRule type="dataBar" id="{4C709EBE-23A5-4AEC-BB4A-055B9C06A064}">
            <x14:dataBar minLength="0" maxLength="100" border="1" negativeBarBorderColorSameAsPositive="0">
              <x14:cfvo type="autoMin"/>
              <x14:cfvo type="autoMax"/>
              <x14:borderColor rgb="FFFFB628"/>
              <x14:negativeFillColor rgb="FFFF0000"/>
              <x14:negativeBorderColor rgb="FFFF0000"/>
              <x14:axisColor rgb="FF000000"/>
            </x14:dataBar>
          </x14:cfRule>
          <xm:sqref>BF103:BF105</xm:sqref>
        </x14:conditionalFormatting>
        <x14:conditionalFormatting xmlns:xm="http://schemas.microsoft.com/office/excel/2006/main">
          <x14:cfRule type="dataBar" id="{87A541B9-8139-488F-9591-096EDB6B17BE}">
            <x14:dataBar minLength="0" maxLength="100" border="1" negativeBarBorderColorSameAsPositive="0">
              <x14:cfvo type="autoMin"/>
              <x14:cfvo type="autoMax"/>
              <x14:borderColor rgb="FF638EC6"/>
              <x14:negativeFillColor rgb="FFFF0000"/>
              <x14:negativeBorderColor rgb="FFFF0000"/>
              <x14:axisColor rgb="FF000000"/>
            </x14:dataBar>
          </x14:cfRule>
          <xm:sqref>BE103:BE105</xm:sqref>
        </x14:conditionalFormatting>
        <x14:conditionalFormatting xmlns:xm="http://schemas.microsoft.com/office/excel/2006/main">
          <x14:cfRule type="dataBar" id="{ED7664D6-2636-47BB-A68C-7F7E7F24589E}">
            <x14:dataBar minLength="0" maxLength="100" border="1" negativeBarBorderColorSameAsPositive="0">
              <x14:cfvo type="autoMin"/>
              <x14:cfvo type="autoMax"/>
              <x14:borderColor rgb="FFFFB628"/>
              <x14:negativeFillColor rgb="FFFF0000"/>
              <x14:negativeBorderColor rgb="FFFF0000"/>
              <x14:axisColor rgb="FF000000"/>
            </x14:dataBar>
          </x14:cfRule>
          <xm:sqref>BF111</xm:sqref>
        </x14:conditionalFormatting>
        <x14:conditionalFormatting xmlns:xm="http://schemas.microsoft.com/office/excel/2006/main">
          <x14:cfRule type="dataBar" id="{3AF0D393-16A1-451F-B820-E6918EE35FB1}">
            <x14:dataBar minLength="0" maxLength="100" border="1" negativeBarBorderColorSameAsPositive="0">
              <x14:cfvo type="autoMin"/>
              <x14:cfvo type="autoMax"/>
              <x14:borderColor rgb="FF638EC6"/>
              <x14:negativeFillColor rgb="FFFF0000"/>
              <x14:negativeBorderColor rgb="FFFF0000"/>
              <x14:axisColor rgb="FF000000"/>
            </x14:dataBar>
          </x14:cfRule>
          <xm:sqref>BE111</xm:sqref>
        </x14:conditionalFormatting>
        <x14:conditionalFormatting xmlns:xm="http://schemas.microsoft.com/office/excel/2006/main">
          <x14:cfRule type="dataBar" id="{EC0585F8-D218-4004-B80B-8452366C0B58}">
            <x14:dataBar minLength="0" maxLength="100" border="1" negativeBarBorderColorSameAsPositive="0">
              <x14:cfvo type="autoMin"/>
              <x14:cfvo type="autoMax"/>
              <x14:borderColor rgb="FFFFB628"/>
              <x14:negativeFillColor rgb="FFFF0000"/>
              <x14:negativeBorderColor rgb="FFFF0000"/>
              <x14:axisColor rgb="FF000000"/>
            </x14:dataBar>
          </x14:cfRule>
          <xm:sqref>BF124:BF125 BF112:BF116 BF8:BF23 BF102 BF106:BF110 BF93:BF98 BF53:BF91 BF25:BF51</xm:sqref>
        </x14:conditionalFormatting>
        <x14:conditionalFormatting xmlns:xm="http://schemas.microsoft.com/office/excel/2006/main">
          <x14:cfRule type="dataBar" id="{6560A526-4304-4290-B40F-DD90C8B4E541}">
            <x14:dataBar minLength="0" maxLength="100" border="1" negativeBarBorderColorSameAsPositive="0">
              <x14:cfvo type="autoMin"/>
              <x14:cfvo type="autoMax"/>
              <x14:borderColor rgb="FF638EC6"/>
              <x14:negativeFillColor rgb="FFFF0000"/>
              <x14:negativeBorderColor rgb="FFFF0000"/>
              <x14:axisColor rgb="FF000000"/>
            </x14:dataBar>
          </x14:cfRule>
          <xm:sqref>BE124:BE125 BE112:BE116 BE8:BE23 BE102 BE106:BE110 BE93:BE98 BE53:BE91 BE25:BE51</xm:sqref>
        </x14:conditionalFormatting>
        <x14:conditionalFormatting xmlns:xm="http://schemas.microsoft.com/office/excel/2006/main">
          <x14:cfRule type="dataBar" id="{57AD54D1-EDA6-4765-9338-138A829E4E9A}">
            <x14:dataBar minLength="0" maxLength="100" border="1" negativeBarBorderColorSameAsPositive="0">
              <x14:cfvo type="autoMin"/>
              <x14:cfvo type="autoMax"/>
              <x14:borderColor rgb="FFFFB628"/>
              <x14:negativeFillColor rgb="FFFF0000"/>
              <x14:negativeBorderColor rgb="FFFF0000"/>
              <x14:axisColor rgb="FF000000"/>
            </x14:dataBar>
          </x14:cfRule>
          <xm:sqref>BF118:BF119</xm:sqref>
        </x14:conditionalFormatting>
        <x14:conditionalFormatting xmlns:xm="http://schemas.microsoft.com/office/excel/2006/main">
          <x14:cfRule type="dataBar" id="{6546EC2F-FBBA-45FA-ADDB-D24D33B3E9B5}">
            <x14:dataBar minLength="0" maxLength="100" border="1" negativeBarBorderColorSameAsPositive="0">
              <x14:cfvo type="autoMin"/>
              <x14:cfvo type="autoMax"/>
              <x14:borderColor rgb="FF638EC6"/>
              <x14:negativeFillColor rgb="FFFF0000"/>
              <x14:negativeBorderColor rgb="FFFF0000"/>
              <x14:axisColor rgb="FF000000"/>
            </x14:dataBar>
          </x14:cfRule>
          <xm:sqref>BE118:BE119</xm:sqref>
        </x14:conditionalFormatting>
        <x14:conditionalFormatting xmlns:xm="http://schemas.microsoft.com/office/excel/2006/main">
          <x14:cfRule type="dataBar" id="{EFEA5981-C017-45D9-AEA9-A6C3607877E8}">
            <x14:dataBar minLength="0" maxLength="100" border="1" negativeBarBorderColorSameAsPositive="0">
              <x14:cfvo type="autoMin"/>
              <x14:cfvo type="autoMax"/>
              <x14:borderColor rgb="FFFFB628"/>
              <x14:negativeFillColor rgb="FFFF0000"/>
              <x14:negativeBorderColor rgb="FFFF0000"/>
              <x14:axisColor rgb="FF000000"/>
            </x14:dataBar>
          </x14:cfRule>
          <xm:sqref>BF121:BF122</xm:sqref>
        </x14:conditionalFormatting>
        <x14:conditionalFormatting xmlns:xm="http://schemas.microsoft.com/office/excel/2006/main">
          <x14:cfRule type="dataBar" id="{FFCF8DB5-3600-4E7E-83DE-1956DC4F3D1E}">
            <x14:dataBar minLength="0" maxLength="100" border="1" negativeBarBorderColorSameAsPositive="0">
              <x14:cfvo type="autoMin"/>
              <x14:cfvo type="autoMax"/>
              <x14:borderColor rgb="FF638EC6"/>
              <x14:negativeFillColor rgb="FFFF0000"/>
              <x14:negativeBorderColor rgb="FFFF0000"/>
              <x14:axisColor rgb="FF000000"/>
            </x14:dataBar>
          </x14:cfRule>
          <xm:sqref>BE121:BE122</xm:sqref>
        </x14:conditionalFormatting>
        <x14:conditionalFormatting xmlns:xm="http://schemas.microsoft.com/office/excel/2006/main">
          <x14:cfRule type="dataBar" id="{A7CCF37E-D526-4C4E-887D-8A4C72962347}">
            <x14:dataBar minLength="0" maxLength="100" border="1" negativeBarBorderColorSameAsPositive="0">
              <x14:cfvo type="autoMin"/>
              <x14:cfvo type="autoMax"/>
              <x14:borderColor rgb="FFFFB628"/>
              <x14:negativeFillColor rgb="FFFF0000"/>
              <x14:negativeBorderColor rgb="FFFF0000"/>
              <x14:axisColor rgb="FF000000"/>
            </x14:dataBar>
          </x14:cfRule>
          <xm:sqref>BF120</xm:sqref>
        </x14:conditionalFormatting>
        <x14:conditionalFormatting xmlns:xm="http://schemas.microsoft.com/office/excel/2006/main">
          <x14:cfRule type="dataBar" id="{171290AC-A92B-48F2-8E82-439E7946528E}">
            <x14:dataBar minLength="0" maxLength="100" border="1" negativeBarBorderColorSameAsPositive="0">
              <x14:cfvo type="autoMin"/>
              <x14:cfvo type="autoMax"/>
              <x14:borderColor rgb="FF638EC6"/>
              <x14:negativeFillColor rgb="FFFF0000"/>
              <x14:negativeBorderColor rgb="FFFF0000"/>
              <x14:axisColor rgb="FF000000"/>
            </x14:dataBar>
          </x14:cfRule>
          <xm:sqref>BE120</xm:sqref>
        </x14:conditionalFormatting>
        <x14:conditionalFormatting xmlns:xm="http://schemas.microsoft.com/office/excel/2006/main">
          <x14:cfRule type="dataBar" id="{3D174EB0-2C3B-4562-97DF-D80CE693F02D}">
            <x14:dataBar minLength="0" maxLength="100" border="1" negativeBarBorderColorSameAsPositive="0">
              <x14:cfvo type="autoMin"/>
              <x14:cfvo type="autoMax"/>
              <x14:borderColor rgb="FFFFB628"/>
              <x14:negativeFillColor rgb="FFFF0000"/>
              <x14:negativeBorderColor rgb="FFFF0000"/>
              <x14:axisColor rgb="FF000000"/>
            </x14:dataBar>
          </x14:cfRule>
          <xm:sqref>BF52</xm:sqref>
        </x14:conditionalFormatting>
        <x14:conditionalFormatting xmlns:xm="http://schemas.microsoft.com/office/excel/2006/main">
          <x14:cfRule type="dataBar" id="{7BFCD251-23F1-4E66-BF75-B9B71373101E}">
            <x14:dataBar minLength="0" maxLength="100" border="1" negativeBarBorderColorSameAsPositive="0">
              <x14:cfvo type="autoMin"/>
              <x14:cfvo type="autoMax"/>
              <x14:borderColor rgb="FF638EC6"/>
              <x14:negativeFillColor rgb="FFFF0000"/>
              <x14:negativeBorderColor rgb="FFFF0000"/>
              <x14:axisColor rgb="FF000000"/>
            </x14:dataBar>
          </x14:cfRule>
          <xm:sqref>BE52</xm:sqref>
        </x14:conditionalFormatting>
        <x14:conditionalFormatting xmlns:xm="http://schemas.microsoft.com/office/excel/2006/main">
          <x14:cfRule type="dataBar" id="{38551D66-818B-419F-AA12-395A6C8CF1F4}">
            <x14:dataBar minLength="0" maxLength="100" border="1" negativeBarBorderColorSameAsPositive="0">
              <x14:cfvo type="autoMin"/>
              <x14:cfvo type="autoMax"/>
              <x14:borderColor rgb="FF638EC6"/>
              <x14:negativeFillColor rgb="FFFF0000"/>
              <x14:negativeBorderColor rgb="FFFF0000"/>
              <x14:axisColor rgb="FF000000"/>
            </x14:dataBar>
          </x14:cfRule>
          <xm:sqref>BD8:BD23</xm:sqref>
        </x14:conditionalFormatting>
        <x14:conditionalFormatting xmlns:xm="http://schemas.microsoft.com/office/excel/2006/main">
          <x14:cfRule type="dataBar" id="{7A5C5BEE-C3C6-46E8-85D7-FEAD9F53538C}">
            <x14:dataBar minLength="0" maxLength="100" border="1" negativeBarBorderColorSameAsPositive="0">
              <x14:cfvo type="autoMin"/>
              <x14:cfvo type="autoMax"/>
              <x14:borderColor rgb="FFFFB628"/>
              <x14:negativeFillColor rgb="FFFF0000"/>
              <x14:negativeBorderColor rgb="FFFF0000"/>
              <x14:axisColor rgb="FF000000"/>
            </x14:dataBar>
          </x14:cfRule>
          <xm:sqref>BF92</xm:sqref>
        </x14:conditionalFormatting>
        <x14:conditionalFormatting xmlns:xm="http://schemas.microsoft.com/office/excel/2006/main">
          <x14:cfRule type="dataBar" id="{F2C2A9FF-6C8D-4E05-894E-438FF453A81D}">
            <x14:dataBar minLength="0" maxLength="100" border="1" negativeBarBorderColorSameAsPositive="0">
              <x14:cfvo type="autoMin"/>
              <x14:cfvo type="autoMax"/>
              <x14:borderColor rgb="FF638EC6"/>
              <x14:negativeFillColor rgb="FFFF0000"/>
              <x14:negativeBorderColor rgb="FFFF0000"/>
              <x14:axisColor rgb="FF000000"/>
            </x14:dataBar>
          </x14:cfRule>
          <xm:sqref>BE92</xm:sqref>
        </x14:conditionalFormatting>
        <x14:conditionalFormatting xmlns:xm="http://schemas.microsoft.com/office/excel/2006/main">
          <x14:cfRule type="dataBar" id="{12837902-FFF9-4C91-8F3D-74BED8116C34}">
            <x14:dataBar minLength="0" maxLength="100" border="1" negativeBarBorderColorSameAsPositive="0">
              <x14:cfvo type="autoMin"/>
              <x14:cfvo type="autoMax"/>
              <x14:borderColor rgb="FFFFB628"/>
              <x14:negativeFillColor rgb="FFFF0000"/>
              <x14:negativeBorderColor rgb="FFFF0000"/>
              <x14:axisColor rgb="FF000000"/>
            </x14:dataBar>
          </x14:cfRule>
          <xm:sqref>BF99</xm:sqref>
        </x14:conditionalFormatting>
        <x14:conditionalFormatting xmlns:xm="http://schemas.microsoft.com/office/excel/2006/main">
          <x14:cfRule type="dataBar" id="{7953C8C5-1993-46ED-A632-E348D3567861}">
            <x14:dataBar minLength="0" maxLength="100" border="1" negativeBarBorderColorSameAsPositive="0">
              <x14:cfvo type="autoMin"/>
              <x14:cfvo type="autoMax"/>
              <x14:borderColor rgb="FF638EC6"/>
              <x14:negativeFillColor rgb="FFFF0000"/>
              <x14:negativeBorderColor rgb="FFFF0000"/>
              <x14:axisColor rgb="FF000000"/>
            </x14:dataBar>
          </x14:cfRule>
          <xm:sqref>BE99</xm:sqref>
        </x14:conditionalFormatting>
        <x14:conditionalFormatting xmlns:xm="http://schemas.microsoft.com/office/excel/2006/main">
          <x14:cfRule type="dataBar" id="{E7974E87-A402-4AF7-B66B-E5A3C49E9B0E}">
            <x14:dataBar minLength="0" maxLength="100" border="1" negativeBarBorderColorSameAsPositive="0">
              <x14:cfvo type="autoMin"/>
              <x14:cfvo type="autoMax"/>
              <x14:borderColor rgb="FFFFB628"/>
              <x14:negativeFillColor rgb="FFFF0000"/>
              <x14:negativeBorderColor rgb="FFFF0000"/>
              <x14:axisColor rgb="FF000000"/>
            </x14:dataBar>
          </x14:cfRule>
          <xm:sqref>BF117</xm:sqref>
        </x14:conditionalFormatting>
        <x14:conditionalFormatting xmlns:xm="http://schemas.microsoft.com/office/excel/2006/main">
          <x14:cfRule type="dataBar" id="{F380BCC5-F60E-41DD-BAF1-1D6BF0969469}">
            <x14:dataBar minLength="0" maxLength="100" border="1" negativeBarBorderColorSameAsPositive="0">
              <x14:cfvo type="autoMin"/>
              <x14:cfvo type="autoMax"/>
              <x14:borderColor rgb="FF638EC6"/>
              <x14:negativeFillColor rgb="FFFF0000"/>
              <x14:negativeBorderColor rgb="FFFF0000"/>
              <x14:axisColor rgb="FF000000"/>
            </x14:dataBar>
          </x14:cfRule>
          <xm:sqref>BE117</xm:sqref>
        </x14:conditionalFormatting>
        <x14:conditionalFormatting xmlns:xm="http://schemas.microsoft.com/office/excel/2006/main">
          <x14:cfRule type="dataBar" id="{8893FEC2-0BD5-4364-916C-1B01A2CF46A0}">
            <x14:dataBar minLength="0" maxLength="100" border="1" negativeBarBorderColorSameAsPositive="0">
              <x14:cfvo type="autoMin"/>
              <x14:cfvo type="autoMax"/>
              <x14:borderColor rgb="FFFFB628"/>
              <x14:negativeFillColor rgb="FFFF0000"/>
              <x14:negativeBorderColor rgb="FFFF0000"/>
              <x14:axisColor rgb="FF000000"/>
            </x14:dataBar>
          </x14:cfRule>
          <xm:sqref>BF123</xm:sqref>
        </x14:conditionalFormatting>
        <x14:conditionalFormatting xmlns:xm="http://schemas.microsoft.com/office/excel/2006/main">
          <x14:cfRule type="dataBar" id="{20E8764E-18FB-414F-92C3-36C7BE40AFEB}">
            <x14:dataBar minLength="0" maxLength="100" border="1" negativeBarBorderColorSameAsPositive="0">
              <x14:cfvo type="autoMin"/>
              <x14:cfvo type="autoMax"/>
              <x14:borderColor rgb="FF638EC6"/>
              <x14:negativeFillColor rgb="FFFF0000"/>
              <x14:negativeBorderColor rgb="FFFF0000"/>
              <x14:axisColor rgb="FF000000"/>
            </x14:dataBar>
          </x14:cfRule>
          <xm:sqref>BE123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75908-44E8-4436-81DB-BEA71B0D2BA2}">
  <sheetPr>
    <tabColor rgb="FF99FF99"/>
    <pageSetUpPr fitToPage="1"/>
  </sheetPr>
  <dimension ref="A1:N51"/>
  <sheetViews>
    <sheetView zoomScaleNormal="100" workbookViewId="0">
      <selection activeCell="G21" sqref="G21"/>
    </sheetView>
  </sheetViews>
  <sheetFormatPr baseColWidth="10" defaultColWidth="11" defaultRowHeight="18" customHeight="1" outlineLevelRow="1" outlineLevelCol="1"/>
  <cols>
    <col min="1" max="1" width="4" style="945" customWidth="1"/>
    <col min="2" max="2" width="5" style="945" hidden="1" customWidth="1" outlineLevel="1"/>
    <col min="3" max="5" width="34.28515625" style="950" hidden="1" customWidth="1" outlineLevel="1"/>
    <col min="6" max="6" width="34.28515625" style="945" hidden="1" customWidth="1" outlineLevel="1"/>
    <col min="7" max="7" width="70.85546875" style="945" customWidth="1" collapsed="1"/>
    <col min="8" max="8" width="26.42578125" style="945" bestFit="1" customWidth="1"/>
    <col min="9" max="9" width="8.140625" style="945" customWidth="1"/>
    <col min="10" max="10" width="4.28515625" style="945" customWidth="1"/>
    <col min="11" max="12" width="26.85546875" style="945" customWidth="1"/>
    <col min="13" max="13" width="34.7109375" style="945" customWidth="1"/>
    <col min="14" max="14" width="11.42578125" style="945" customWidth="1"/>
    <col min="15" max="16384" width="11" style="946"/>
  </cols>
  <sheetData>
    <row r="1" spans="1:13" ht="18" customHeight="1">
      <c r="A1" s="944"/>
      <c r="C1" s="825" t="s">
        <v>11</v>
      </c>
      <c r="D1" s="819" t="s">
        <v>1845</v>
      </c>
      <c r="E1" s="819" t="s">
        <v>13</v>
      </c>
      <c r="F1" s="819" t="str" cm="1">
        <f t="array" aca="1" ref="F1:F51" ca="1">OFFSET(C1:C51,0,sprache-1)</f>
        <v>English</v>
      </c>
    </row>
    <row r="2" spans="1:13" s="945" customFormat="1" ht="21.2" customHeight="1">
      <c r="A2" s="944"/>
      <c r="B2" s="945">
        <v>2</v>
      </c>
      <c r="C2" s="819"/>
      <c r="D2" s="819"/>
      <c r="E2" s="819"/>
      <c r="F2" s="815">
        <f ca="1"/>
        <v>0</v>
      </c>
      <c r="G2" s="947" t="str">
        <f ca="1">MainInput!G2</f>
        <v>naturemade star certification: Energy products from biogas plants</v>
      </c>
    </row>
    <row r="3" spans="1:13" s="945" customFormat="1" ht="21.2" customHeight="1">
      <c r="A3" s="944"/>
      <c r="C3" s="819"/>
      <c r="D3" s="819"/>
      <c r="E3" s="819"/>
      <c r="F3" s="815">
        <f ca="1"/>
        <v>0</v>
      </c>
      <c r="G3" s="948" t="str">
        <f>IF(NOT(name=0),name,"")</f>
        <v/>
      </c>
      <c r="I3" s="949"/>
    </row>
    <row r="4" spans="1:13" ht="18" customHeight="1">
      <c r="A4" s="944"/>
      <c r="C4" s="819" t="s">
        <v>2169</v>
      </c>
      <c r="D4" s="819" t="s">
        <v>2178</v>
      </c>
      <c r="E4" s="819" t="s">
        <v>2175</v>
      </c>
      <c r="F4" s="815" t="str">
        <f ca="1"/>
        <v>Link to the main input page</v>
      </c>
      <c r="G4" s="1055" t="str">
        <f ca="1">F4</f>
        <v>Link to the main input page</v>
      </c>
    </row>
    <row r="5" spans="1:13" ht="18" customHeight="1">
      <c r="A5" s="944"/>
      <c r="C5" s="950" t="s">
        <v>2227</v>
      </c>
      <c r="D5" s="819" t="s">
        <v>2179</v>
      </c>
      <c r="E5" s="819" t="s">
        <v>2228</v>
      </c>
      <c r="F5" s="815" t="str">
        <f ca="1"/>
        <v>Global criterion results overview</v>
      </c>
      <c r="G5" s="951" t="str">
        <f ca="1">F5</f>
        <v>Global criterion results overview</v>
      </c>
      <c r="H5" s="952"/>
      <c r="I5" s="952"/>
    </row>
    <row r="6" spans="1:13" ht="18" customHeight="1">
      <c r="A6" s="944"/>
      <c r="F6" s="945">
        <f ca="1"/>
        <v>0</v>
      </c>
      <c r="G6" s="953"/>
      <c r="H6" s="954" t="str">
        <f ca="1">menuesBG!$D$29</f>
        <v>Eco-indicator 99 points</v>
      </c>
      <c r="I6" s="949"/>
    </row>
    <row r="7" spans="1:13" ht="18" customHeight="1">
      <c r="A7" s="944"/>
      <c r="C7" s="950" t="s">
        <v>1840</v>
      </c>
      <c r="D7" s="950" t="s">
        <v>2180</v>
      </c>
      <c r="E7" s="950" t="s">
        <v>2171</v>
      </c>
      <c r="F7" s="945" t="str">
        <f ca="1"/>
        <v>Test value naturemade star</v>
      </c>
      <c r="G7" s="945" t="str">
        <f ca="1">F7</f>
        <v>Test value naturemade star</v>
      </c>
      <c r="H7" s="955" t="e">
        <f>H51</f>
        <v>#N/A</v>
      </c>
    </row>
    <row r="8" spans="1:13" ht="18" customHeight="1">
      <c r="A8" s="956"/>
      <c r="C8" s="950">
        <f>name</f>
        <v>0</v>
      </c>
      <c r="D8" s="950">
        <f>name</f>
        <v>0</v>
      </c>
      <c r="E8" s="950">
        <f>name</f>
        <v>0</v>
      </c>
      <c r="F8" s="945">
        <f ca="1"/>
        <v>0</v>
      </c>
      <c r="G8" s="957">
        <f ca="1">F8</f>
        <v>0</v>
      </c>
      <c r="H8" s="911" t="e">
        <f>H37</f>
        <v>#N/A</v>
      </c>
      <c r="I8" s="957"/>
      <c r="K8" s="946"/>
      <c r="L8" s="946"/>
      <c r="M8" s="946"/>
    </row>
    <row r="9" spans="1:13" ht="18" customHeight="1">
      <c r="A9" s="956"/>
      <c r="C9" s="950" t="s">
        <v>2170</v>
      </c>
      <c r="D9" s="950" t="s">
        <v>2181</v>
      </c>
      <c r="E9" s="950" t="s">
        <v>2172</v>
      </c>
      <c r="F9" s="945" t="str">
        <f ca="1"/>
        <v>Degree of fulfilment of global criterion</v>
      </c>
      <c r="G9" s="944" t="str">
        <f ca="1">F9</f>
        <v>Degree of fulfilment of global criterion</v>
      </c>
      <c r="H9" s="814" t="e">
        <f>H8/H7</f>
        <v>#N/A</v>
      </c>
      <c r="I9" s="944"/>
      <c r="K9" s="946"/>
      <c r="L9" s="946"/>
      <c r="M9" s="946"/>
    </row>
    <row r="10" spans="1:13" ht="18" customHeight="1">
      <c r="A10" s="956"/>
      <c r="F10" s="945">
        <f ca="1"/>
        <v>0</v>
      </c>
      <c r="H10" s="909"/>
      <c r="K10" s="946"/>
      <c r="L10" s="946"/>
      <c r="M10" s="946"/>
    </row>
    <row r="11" spans="1:13" ht="18" customHeight="1">
      <c r="A11" s="956"/>
      <c r="C11" s="950" t="s">
        <v>2288</v>
      </c>
      <c r="D11" s="950" t="s">
        <v>2289</v>
      </c>
      <c r="E11" s="950" t="s">
        <v>2290</v>
      </c>
      <c r="F11" s="945" t="str">
        <f ca="1"/>
        <v>Environmental impact threshold value met</v>
      </c>
      <c r="G11" s="945" t="e">
        <f>IF(H11&gt;0,F11,F14)</f>
        <v>#N/A</v>
      </c>
      <c r="H11" s="949" t="e">
        <f>IF(H8&lt;H7,1,-1)</f>
        <v>#N/A</v>
      </c>
      <c r="K11" s="946"/>
      <c r="L11" s="946"/>
      <c r="M11" s="946"/>
    </row>
    <row r="12" spans="1:13" ht="18" customHeight="1">
      <c r="A12" s="944"/>
      <c r="C12" s="950" t="s">
        <v>1880</v>
      </c>
      <c r="D12" s="950" t="s">
        <v>2182</v>
      </c>
      <c r="E12" s="950" t="s">
        <v>2287</v>
      </c>
      <c r="F12" s="945" t="str">
        <f ca="1"/>
        <v>data is plausible</v>
      </c>
      <c r="G12" s="945" t="str">
        <f t="shared" ref="G12" ca="1" si="0">IF(H12&gt;0,F12,F16)</f>
        <v>The data is not plausible, please check your entries</v>
      </c>
      <c r="H12" s="949">
        <f>MainInput!I105</f>
        <v>0</v>
      </c>
      <c r="K12" s="946"/>
      <c r="L12" s="946"/>
      <c r="M12" s="946"/>
    </row>
    <row r="13" spans="1:13" ht="18" customHeight="1">
      <c r="A13" s="944"/>
      <c r="C13" s="950" t="s">
        <v>2291</v>
      </c>
      <c r="D13" s="950" t="s">
        <v>2292</v>
      </c>
      <c r="E13" s="950" t="s">
        <v>2173</v>
      </c>
      <c r="F13" s="945" t="str">
        <f ca="1"/>
        <v>The naturemade star test has been passed</v>
      </c>
      <c r="G13" s="958" t="e">
        <f>IF(H13&gt;0,F13,IF(H12&lt;=0,F18,F17))</f>
        <v>#N/A</v>
      </c>
      <c r="H13" s="959" t="e">
        <f>SUM(H11:H12)</f>
        <v>#N/A</v>
      </c>
      <c r="I13" s="960"/>
      <c r="K13" s="946"/>
      <c r="L13" s="946"/>
      <c r="M13" s="946"/>
    </row>
    <row r="14" spans="1:13" ht="18" hidden="1" customHeight="1" outlineLevel="1">
      <c r="A14" s="944"/>
      <c r="C14" s="825" t="s">
        <v>2293</v>
      </c>
      <c r="D14" s="825" t="s">
        <v>2295</v>
      </c>
      <c r="E14" s="825" t="s">
        <v>2294</v>
      </c>
      <c r="F14" s="945" t="str">
        <f ca="1"/>
        <v>Environmental impact threshold value exceeded</v>
      </c>
      <c r="G14" s="961" t="s">
        <v>352</v>
      </c>
      <c r="H14" s="949"/>
      <c r="I14" s="962"/>
      <c r="K14" s="946"/>
      <c r="L14" s="946"/>
      <c r="M14" s="946"/>
    </row>
    <row r="15" spans="1:13" ht="18" hidden="1" customHeight="1" outlineLevel="1">
      <c r="A15" s="944"/>
      <c r="C15" s="825" t="s">
        <v>1887</v>
      </c>
      <c r="D15" s="825" t="s">
        <v>2044</v>
      </c>
      <c r="E15" s="825" t="s">
        <v>2296</v>
      </c>
      <c r="F15" s="945" t="str">
        <f ca="1"/>
        <v>Use of energy crops is not allowed</v>
      </c>
      <c r="G15" s="961" t="s">
        <v>352</v>
      </c>
      <c r="H15" s="949"/>
      <c r="I15" s="962"/>
      <c r="K15" s="946"/>
      <c r="L15" s="946"/>
      <c r="M15" s="946"/>
    </row>
    <row r="16" spans="1:13" ht="18" hidden="1" customHeight="1" outlineLevel="1">
      <c r="A16" s="944"/>
      <c r="C16" s="950" t="s">
        <v>1881</v>
      </c>
      <c r="D16" s="950" t="s">
        <v>2183</v>
      </c>
      <c r="E16" s="950" t="s">
        <v>2177</v>
      </c>
      <c r="F16" s="945" t="str">
        <f ca="1"/>
        <v>The data is not plausible, please check your entries</v>
      </c>
      <c r="G16" s="961" t="s">
        <v>352</v>
      </c>
      <c r="H16" s="949"/>
      <c r="I16" s="962"/>
      <c r="K16" s="946"/>
      <c r="L16" s="946"/>
      <c r="M16" s="946"/>
    </row>
    <row r="17" spans="1:14" ht="18" hidden="1" customHeight="1" outlineLevel="1">
      <c r="A17" s="944"/>
      <c r="C17" s="950" t="s">
        <v>2298</v>
      </c>
      <c r="D17" s="950" t="s">
        <v>2299</v>
      </c>
      <c r="E17" s="950" t="s">
        <v>2297</v>
      </c>
      <c r="F17" s="945" t="str">
        <f ca="1"/>
        <v>The naturemade star test has not been passed</v>
      </c>
      <c r="G17" s="963" t="s">
        <v>352</v>
      </c>
      <c r="H17" s="957"/>
      <c r="I17" s="957"/>
      <c r="K17" s="946"/>
      <c r="L17" s="946"/>
      <c r="M17" s="946"/>
    </row>
    <row r="18" spans="1:14" ht="18" customHeight="1" collapsed="1">
      <c r="A18" s="944"/>
      <c r="C18" s="950" t="s">
        <v>2355</v>
      </c>
      <c r="D18" s="950" t="s">
        <v>2356</v>
      </c>
      <c r="E18" s="950" t="s">
        <v>2392</v>
      </c>
      <c r="F18" s="945" t="str">
        <f ca="1"/>
        <v>The naturemade star test has partially not been passed</v>
      </c>
      <c r="G18" s="944"/>
      <c r="H18" s="944"/>
      <c r="I18" s="944"/>
      <c r="K18" s="946"/>
      <c r="L18" s="946"/>
      <c r="M18" s="946"/>
    </row>
    <row r="19" spans="1:14" ht="18" customHeight="1">
      <c r="A19" s="944"/>
      <c r="C19" s="950" t="s">
        <v>1841</v>
      </c>
      <c r="D19" s="950" t="s">
        <v>2184</v>
      </c>
      <c r="E19" s="825" t="s">
        <v>2174</v>
      </c>
      <c r="F19" s="945" t="str">
        <f ca="1"/>
        <v>naturemade star certifiable energy quantity</v>
      </c>
      <c r="G19" s="964" t="str">
        <f ca="1">F19</f>
        <v>naturemade star certifiable energy quantity</v>
      </c>
      <c r="H19" s="954" t="s">
        <v>1190</v>
      </c>
      <c r="K19" s="946"/>
      <c r="L19" s="946"/>
      <c r="M19" s="946"/>
    </row>
    <row r="20" spans="1:14" ht="18" customHeight="1">
      <c r="A20" s="944"/>
      <c r="C20" s="950" t="s">
        <v>1842</v>
      </c>
      <c r="D20" s="950" t="s">
        <v>2185</v>
      </c>
      <c r="E20" s="950" t="s">
        <v>1842</v>
      </c>
      <c r="F20" s="945" t="str">
        <f ca="1"/>
        <v>Gas</v>
      </c>
      <c r="G20" s="957" t="str">
        <f ca="1">F20</f>
        <v>Gas</v>
      </c>
      <c r="H20" s="911" t="e">
        <f>MainInput!H62+MainInput!H63-MainInput!H53*((MainInput!H62+MainInput!H63)/(MainInput!H62+MainInput!H63+MainInput!H73+MainInput!H79))</f>
        <v>#DIV/0!</v>
      </c>
      <c r="I20" s="957"/>
      <c r="K20" s="946"/>
      <c r="L20" s="946"/>
      <c r="M20" s="946"/>
    </row>
    <row r="21" spans="1:14" ht="18" customHeight="1">
      <c r="A21" s="944"/>
      <c r="C21" s="950" t="s">
        <v>1843</v>
      </c>
      <c r="D21" s="950" t="s">
        <v>2186</v>
      </c>
      <c r="E21" s="950" t="s">
        <v>1999</v>
      </c>
      <c r="F21" s="945" t="str">
        <f ca="1"/>
        <v>Electricity</v>
      </c>
      <c r="G21" s="957" t="str">
        <f ca="1">F21</f>
        <v>Electricity</v>
      </c>
      <c r="H21" s="912" t="e">
        <f>MainInput!H73-MainInput!H53*((MainInput!H73)/(MainInput!H62+MainInput!H63+MainInput!H73+MainInput!H79))</f>
        <v>#DIV/0!</v>
      </c>
      <c r="I21" s="965"/>
      <c r="K21" s="946"/>
      <c r="L21" s="946"/>
      <c r="M21" s="946"/>
    </row>
    <row r="22" spans="1:14" ht="18" customHeight="1">
      <c r="A22" s="944"/>
      <c r="C22" s="950" t="s">
        <v>1844</v>
      </c>
      <c r="D22" s="950" t="s">
        <v>2013</v>
      </c>
      <c r="E22" s="950" t="s">
        <v>2014</v>
      </c>
      <c r="F22" s="945" t="str">
        <f ca="1"/>
        <v>Heat</v>
      </c>
      <c r="G22" s="957" t="str">
        <f ca="1">F22</f>
        <v>Heat</v>
      </c>
      <c r="H22" s="912" t="e">
        <f>MainInput!H79-MainInput!H53*((MainInput!H79)/(MainInput!H62+MainInput!H63+MainInput!H73+MainInput!H79))</f>
        <v>#DIV/0!</v>
      </c>
      <c r="I22" s="965"/>
      <c r="K22" s="946"/>
      <c r="L22" s="946"/>
      <c r="M22" s="946"/>
      <c r="N22" s="946"/>
    </row>
    <row r="23" spans="1:14" ht="18" customHeight="1">
      <c r="A23" s="944"/>
      <c r="F23" s="945">
        <f ca="1"/>
        <v>0</v>
      </c>
      <c r="N23" s="946"/>
    </row>
    <row r="24" spans="1:14" ht="18" customHeight="1">
      <c r="A24" s="944"/>
      <c r="C24" s="950" t="s">
        <v>2168</v>
      </c>
      <c r="D24" s="950" t="s">
        <v>2187</v>
      </c>
      <c r="E24" s="950" t="s">
        <v>2176</v>
      </c>
      <c r="F24" s="945" t="str">
        <f ca="1"/>
        <v>Life cycle impact assessment results</v>
      </c>
      <c r="G24" s="951" t="str">
        <f ca="1">F24</f>
        <v>Life cycle impact assessment results</v>
      </c>
      <c r="H24" s="952"/>
      <c r="I24" s="952"/>
      <c r="N24" s="946"/>
    </row>
    <row r="25" spans="1:14" ht="18" customHeight="1">
      <c r="A25" s="944"/>
      <c r="F25" s="945">
        <f ca="1"/>
        <v>0</v>
      </c>
      <c r="N25" s="946"/>
    </row>
    <row r="26" spans="1:14" ht="18" customHeight="1">
      <c r="A26" s="944"/>
      <c r="B26" s="945">
        <v>4</v>
      </c>
      <c r="F26" s="945">
        <f ca="1"/>
        <v>0</v>
      </c>
      <c r="G26" s="966">
        <f>name</f>
        <v>0</v>
      </c>
      <c r="H26" s="967" t="str">
        <f ca="1">menuesBG!$D$29</f>
        <v>Eco-indicator 99 points</v>
      </c>
      <c r="I26" s="957"/>
      <c r="N26" s="946"/>
    </row>
    <row r="27" spans="1:14" ht="18" customHeight="1">
      <c r="A27" s="944"/>
      <c r="F27" s="945">
        <f ca="1"/>
        <v>0</v>
      </c>
      <c r="G27" s="815" t="str">
        <f ca="1">EPD!F4</f>
        <v>Infrastructure</v>
      </c>
      <c r="H27" s="839" t="e">
        <f>SUM(LCIAbg!$C$8:$E$8)</f>
        <v>#N/A</v>
      </c>
      <c r="I27" s="909"/>
      <c r="N27" s="946"/>
    </row>
    <row r="28" spans="1:14" ht="18" customHeight="1">
      <c r="A28" s="944"/>
      <c r="F28" s="945">
        <f ca="1"/>
        <v>0</v>
      </c>
      <c r="G28" s="815" t="str">
        <f ca="1">EPD!F5</f>
        <v>External energy demand</v>
      </c>
      <c r="H28" s="839" t="e">
        <f>MainInput!V52</f>
        <v>#N/A</v>
      </c>
      <c r="I28" s="839"/>
      <c r="N28" s="946"/>
    </row>
    <row r="29" spans="1:14" ht="18" customHeight="1">
      <c r="A29" s="944"/>
      <c r="F29" s="945">
        <f ca="1"/>
        <v>0</v>
      </c>
      <c r="G29" s="815" t="str">
        <f ca="1">EPD!F6</f>
        <v>Purchased substrates</v>
      </c>
      <c r="H29" s="839">
        <f>Substrates!AX146+MainInput!V23</f>
        <v>0</v>
      </c>
      <c r="I29" s="909"/>
      <c r="N29" s="946"/>
    </row>
    <row r="30" spans="1:14" ht="18" customHeight="1">
      <c r="A30" s="944"/>
      <c r="F30" s="945">
        <f ca="1"/>
        <v>0</v>
      </c>
      <c r="G30" s="815" t="str">
        <f ca="1">EPD!F7</f>
        <v>Direct emissions (e.g. slurry storage, post-rotting)</v>
      </c>
      <c r="H30" s="839" t="e">
        <f>LCIAbg!$N$8</f>
        <v>#N/A</v>
      </c>
      <c r="I30" s="909"/>
      <c r="N30" s="946"/>
    </row>
    <row r="31" spans="1:14" ht="18" customHeight="1">
      <c r="A31" s="944"/>
      <c r="F31" s="945">
        <f ca="1"/>
        <v>0</v>
      </c>
      <c r="G31" s="815" t="str">
        <f ca="1">EPD!F8</f>
        <v>Transports</v>
      </c>
      <c r="H31" s="839">
        <f>SUM(Substrates!AZ128:AZ129,MainInput!V102)</f>
        <v>0</v>
      </c>
      <c r="I31" s="839"/>
      <c r="N31" s="946"/>
    </row>
    <row r="32" spans="1:14" ht="18" customHeight="1">
      <c r="A32" s="944"/>
      <c r="F32" s="945">
        <f ca="1"/>
        <v>0</v>
      </c>
      <c r="G32" s="815" t="str">
        <f ca="1">EPD!F9</f>
        <v>Biogas losses (methane slip, treatment, interruptions)</v>
      </c>
      <c r="H32" s="839">
        <f>MainInput!V59</f>
        <v>0</v>
      </c>
      <c r="I32" s="909"/>
      <c r="N32" s="946"/>
    </row>
    <row r="33" spans="1:14" ht="18" customHeight="1">
      <c r="A33" s="944"/>
      <c r="F33" s="945">
        <f ca="1"/>
        <v>0</v>
      </c>
      <c r="G33" s="815" t="str">
        <f ca="1">EPD!F10</f>
        <v>Biomethane: sales and consumption outside the plant (11.4 kWh Ho/m3)</v>
      </c>
      <c r="H33" s="839">
        <f>MainInput!V62</f>
        <v>0</v>
      </c>
      <c r="I33" s="839"/>
      <c r="N33" s="946"/>
    </row>
    <row r="34" spans="1:14" ht="18" customHeight="1">
      <c r="A34" s="944"/>
      <c r="F34" s="945">
        <f ca="1"/>
        <v>0</v>
      </c>
      <c r="G34" s="815" t="str">
        <f ca="1">EPD!F11</f>
        <v>Biogas: sale and consumption outside the plant (6.5 kWh Ho/m3)</v>
      </c>
      <c r="H34" s="839">
        <f>MainInput!V63</f>
        <v>0</v>
      </c>
      <c r="I34" s="909"/>
      <c r="N34" s="946"/>
    </row>
    <row r="35" spans="1:14" ht="18" customHeight="1">
      <c r="A35" s="944"/>
      <c r="F35" s="945">
        <f ca="1"/>
        <v>0</v>
      </c>
      <c r="G35" s="815" t="str">
        <f ca="1">EPD!F12</f>
        <v>Incineration</v>
      </c>
      <c r="H35" s="839">
        <f ca="1">SUM(MainInput!V60,MainInput!V64,MainInput!V66,MainInput!V76)</f>
        <v>0</v>
      </c>
      <c r="I35" s="839"/>
      <c r="N35" s="946"/>
    </row>
    <row r="36" spans="1:14" ht="18" customHeight="1">
      <c r="A36" s="944"/>
      <c r="F36" s="945">
        <f ca="1"/>
        <v>0</v>
      </c>
      <c r="G36" s="815" t="str">
        <f ca="1">EPD!F13</f>
        <v>Treatment and storage of digestate</v>
      </c>
      <c r="H36" s="839" t="e">
        <f>SUM(LCIAbg!$F$8:$L$8)</f>
        <v>#N/A</v>
      </c>
      <c r="I36" s="909"/>
      <c r="N36" s="946"/>
    </row>
    <row r="37" spans="1:14" ht="18" customHeight="1">
      <c r="A37" s="968"/>
      <c r="C37" s="950" t="s">
        <v>35</v>
      </c>
      <c r="D37" s="950" t="s">
        <v>35</v>
      </c>
      <c r="E37" s="950" t="s">
        <v>35</v>
      </c>
      <c r="F37" s="945" t="str">
        <f ca="1"/>
        <v>Total</v>
      </c>
      <c r="G37" s="969" t="str">
        <f ca="1">F37</f>
        <v>Total</v>
      </c>
      <c r="H37" s="910" t="e">
        <f>SUM(H27:H36)</f>
        <v>#N/A</v>
      </c>
      <c r="I37" s="910"/>
      <c r="N37" s="946"/>
    </row>
    <row r="38" spans="1:14" ht="18" customHeight="1">
      <c r="A38" s="968"/>
      <c r="F38" s="945">
        <f ca="1"/>
        <v>0</v>
      </c>
      <c r="I38" s="955"/>
    </row>
    <row r="39" spans="1:14" ht="18" customHeight="1">
      <c r="A39" s="944"/>
      <c r="C39" s="950" t="s">
        <v>2301</v>
      </c>
      <c r="D39" s="950" t="s">
        <v>2302</v>
      </c>
      <c r="E39" s="950" t="s">
        <v>2300</v>
      </c>
      <c r="F39" s="945" t="str">
        <f ca="1"/>
        <v>Composition naturemade star test value</v>
      </c>
      <c r="G39" s="966" t="str">
        <f ca="1">F39</f>
        <v>Composition naturemade star test value</v>
      </c>
      <c r="H39" s="967" t="str">
        <f ca="1">menuesBG!$D$29</f>
        <v>Eco-indicator 99 points</v>
      </c>
      <c r="I39" s="957"/>
    </row>
    <row r="40" spans="1:14" ht="18" customHeight="1">
      <c r="A40" s="944"/>
      <c r="F40" s="945">
        <f ca="1"/>
        <v>0</v>
      </c>
      <c r="G40" s="815" t="str">
        <f ca="1">EPD!F18</f>
        <v>Limit value, electricity</v>
      </c>
      <c r="H40" s="839">
        <f>MainInput!AA73</f>
        <v>0</v>
      </c>
      <c r="I40" s="909"/>
    </row>
    <row r="41" spans="1:14" ht="18" customHeight="1">
      <c r="A41" s="944"/>
      <c r="F41" s="945">
        <f ca="1"/>
        <v>0</v>
      </c>
      <c r="G41" s="815" t="str">
        <f ca="1">EPD!F19</f>
        <v>Limit value, heat</v>
      </c>
      <c r="H41" s="839">
        <f>MainInput!AA79</f>
        <v>0</v>
      </c>
      <c r="I41" s="909"/>
    </row>
    <row r="42" spans="1:14" ht="18" customHeight="1">
      <c r="A42" s="944"/>
      <c r="F42" s="945">
        <f ca="1"/>
        <v>0</v>
      </c>
      <c r="G42" s="815" t="str">
        <f ca="1">EPD!F20</f>
        <v>Limit value, biomethane</v>
      </c>
      <c r="H42" s="839">
        <f>MainInput!AA62</f>
        <v>0</v>
      </c>
      <c r="I42" s="909"/>
    </row>
    <row r="43" spans="1:14" ht="18" customHeight="1">
      <c r="A43" s="944"/>
      <c r="F43" s="945">
        <f ca="1"/>
        <v>0</v>
      </c>
      <c r="G43" s="815" t="str">
        <f ca="1">EPD!F21</f>
        <v>Limit value, biogas</v>
      </c>
      <c r="H43" s="839">
        <f>MainInput!AA63</f>
        <v>0</v>
      </c>
      <c r="I43" s="909"/>
    </row>
    <row r="44" spans="1:14" ht="18" customHeight="1">
      <c r="A44" s="944"/>
      <c r="F44" s="945">
        <f ca="1"/>
        <v>0</v>
      </c>
      <c r="G44" s="815" t="str">
        <f ca="1">EPD!F22</f>
        <v>Reference, disposal</v>
      </c>
      <c r="H44" s="839" t="e">
        <f>MainInput!AA16</f>
        <v>#N/A</v>
      </c>
      <c r="I44" s="909"/>
    </row>
    <row r="45" spans="1:14" ht="18" customHeight="1">
      <c r="A45" s="944"/>
      <c r="F45" s="945">
        <f ca="1"/>
        <v>0</v>
      </c>
      <c r="G45" s="815" t="str">
        <f ca="1">EPD!F23</f>
        <v>Reference, liquid manure storage</v>
      </c>
      <c r="H45" s="839" t="e">
        <f>MainInput!AA15</f>
        <v>#N/A</v>
      </c>
      <c r="I45" s="909"/>
    </row>
    <row r="46" spans="1:14" ht="18" customHeight="1">
      <c r="A46" s="944"/>
      <c r="F46" s="945">
        <f ca="1"/>
        <v>0</v>
      </c>
      <c r="G46" s="815" t="str">
        <f ca="1">EPD!F24</f>
        <v>Reference, compost</v>
      </c>
      <c r="H46" s="839" t="e">
        <f>EPD!H24</f>
        <v>#N/A</v>
      </c>
      <c r="I46" s="909"/>
    </row>
    <row r="47" spans="1:14" ht="18" customHeight="1">
      <c r="A47" s="944"/>
      <c r="F47" s="945">
        <f ca="1"/>
        <v>0</v>
      </c>
      <c r="G47" s="815" t="str">
        <f ca="1">EPD!F25</f>
        <v>Reference, fresh sewage sludge</v>
      </c>
      <c r="H47" s="839">
        <f>EPD!H25</f>
        <v>0</v>
      </c>
      <c r="I47" s="909"/>
    </row>
    <row r="48" spans="1:14" ht="18" customHeight="1">
      <c r="A48" s="944"/>
      <c r="F48" s="945">
        <f ca="1"/>
        <v>0</v>
      </c>
      <c r="G48" s="815" t="str">
        <f ca="1">EPD!F26</f>
        <v>Reference, waste water, paper mill</v>
      </c>
      <c r="H48" s="839">
        <f>MainInput!AA22</f>
        <v>0</v>
      </c>
      <c r="I48" s="909"/>
    </row>
    <row r="49" spans="1:9" ht="18" customHeight="1">
      <c r="A49" s="941"/>
      <c r="F49" s="945">
        <f ca="1"/>
        <v>0</v>
      </c>
      <c r="G49" s="815" t="str">
        <f ca="1">EPD!F27</f>
        <v>Reference, fuel, cement plant</v>
      </c>
      <c r="H49" s="839" t="e">
        <f>EPD!H27</f>
        <v>#N/A</v>
      </c>
      <c r="I49" s="909"/>
    </row>
    <row r="50" spans="1:9" ht="18" customHeight="1">
      <c r="A50" s="941"/>
      <c r="F50" s="945">
        <f ca="1"/>
        <v>0</v>
      </c>
      <c r="G50" s="815" t="str">
        <f ca="1">EPD!F28</f>
        <v>Reference, direct emissions</v>
      </c>
      <c r="H50" s="839">
        <f>SUM(Substrates!AM146:AO146)</f>
        <v>0</v>
      </c>
      <c r="I50" s="909"/>
    </row>
    <row r="51" spans="1:9" ht="18" customHeight="1">
      <c r="A51" s="944"/>
      <c r="C51" s="950" t="s">
        <v>2303</v>
      </c>
      <c r="D51" s="950" t="s">
        <v>2304</v>
      </c>
      <c r="E51" s="950" t="s">
        <v>2305</v>
      </c>
      <c r="F51" s="945" t="str">
        <f ca="1"/>
        <v>Total, naturemade star test value</v>
      </c>
      <c r="G51" s="969" t="str">
        <f ca="1">F51</f>
        <v>Total, naturemade star test value</v>
      </c>
      <c r="H51" s="910" t="e">
        <f>SUM(H40:H50)</f>
        <v>#N/A</v>
      </c>
      <c r="I51" s="910"/>
    </row>
  </sheetData>
  <sheetProtection algorithmName="SHA-512" hashValue="KaFnpgCrJ/WJruWRITj5u2Fmfj4WMCUQ8JgygFHT2BDEmwuDUBRUh+g9a7r0wgZo26Ga69QzcrePFBnevhtktg==" saltValue="K2/uw83WcKM7mAnSPWexTw==" spinCount="100000" sheet="1" objects="1" scenarios="1"/>
  <conditionalFormatting sqref="H9">
    <cfRule type="cellIs" dxfId="26" priority="9" stopIfTrue="1" operator="greaterThan">
      <formula>1</formula>
    </cfRule>
    <cfRule type="cellIs" dxfId="25" priority="10" stopIfTrue="1" operator="lessThanOrEqual">
      <formula>1</formula>
    </cfRule>
  </conditionalFormatting>
  <conditionalFormatting sqref="G13">
    <cfRule type="expression" dxfId="24" priority="1">
      <formula>$H$13=0</formula>
    </cfRule>
    <cfRule type="expression" dxfId="23" priority="7">
      <formula>$H$13=2</formula>
    </cfRule>
    <cfRule type="expression" dxfId="22" priority="8">
      <formula>$H$13&lt;0</formula>
    </cfRule>
  </conditionalFormatting>
  <hyperlinks>
    <hyperlink ref="G4" location="MainInput!H6" display="MainInput!H6" xr:uid="{83273CA2-DE10-49E2-8B50-C3ABBC9BF27E}"/>
  </hyperlinks>
  <printOptions horizontalCentered="1" verticalCentered="1"/>
  <pageMargins left="0.70866141732283472" right="0.70866141732283472" top="0.78740157480314965" bottom="0.78740157480314965" header="0.31496062992125984" footer="0.31496062992125984"/>
  <pageSetup paperSize="9" scale="59" orientation="landscape" verticalDpi="0" r:id="rId1"/>
  <headerFooter>
    <oddHeader>&amp;LResults&amp;Cnaturemade star key parameter model: energy products from biogas plants &amp;R&amp;D</oddHeader>
    <oddFooter>&amp;L(c) ESU-services Ltd.&amp;Cwww.esu-services.ch&amp;R&amp;F</oddFooter>
  </headerFooter>
  <drawing r:id="rId2"/>
  <extLst>
    <ext xmlns:x14="http://schemas.microsoft.com/office/spreadsheetml/2009/9/main" uri="{78C0D931-6437-407d-A8EE-F0AAD7539E65}">
      <x14:conditionalFormattings>
        <x14:conditionalFormatting xmlns:xm="http://schemas.microsoft.com/office/excel/2006/main">
          <x14:cfRule type="iconSet" priority="260" id="{495ECC85-2A73-4849-A556-2BB6303DC09F}">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H11</xm:sqref>
        </x14:conditionalFormatting>
        <x14:conditionalFormatting xmlns:xm="http://schemas.microsoft.com/office/excel/2006/main">
          <x14:cfRule type="iconSet" priority="6" id="{2F840C9B-51DF-4FFE-9311-9D7C8313DE5F}">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G17</xm:sqref>
        </x14:conditionalFormatting>
        <x14:conditionalFormatting xmlns:xm="http://schemas.microsoft.com/office/excel/2006/main">
          <x14:cfRule type="iconSet" priority="5" id="{F668715E-F407-4C38-B724-1DDDD064271F}">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H16</xm:sqref>
        </x14:conditionalFormatting>
        <x14:conditionalFormatting xmlns:xm="http://schemas.microsoft.com/office/excel/2006/main">
          <x14:cfRule type="iconSet" priority="4" id="{7EEBD356-F87A-4BA4-9270-EFB778F68CDE}">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H13</xm:sqref>
        </x14:conditionalFormatting>
        <x14:conditionalFormatting xmlns:xm="http://schemas.microsoft.com/office/excel/2006/main">
          <x14:cfRule type="iconSet" priority="261" id="{DF1D10ED-1BC5-4D5A-8F43-5808C8D0A0CC}">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H12 H14:H15 G18:G19</xm:sqref>
        </x14:conditionalFormatting>
        <x14:conditionalFormatting xmlns:xm="http://schemas.microsoft.com/office/excel/2006/main">
          <x14:cfRule type="iconSet" priority="3" id="{BB7ED406-9180-410A-895A-ADF808AE3E95}">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C20:C22</xm:sqref>
        </x14:conditionalFormatting>
        <x14:conditionalFormatting xmlns:xm="http://schemas.microsoft.com/office/excel/2006/main">
          <x14:cfRule type="iconSet" priority="2" id="{A56BF039-22F9-4233-A2E8-16209E948D5D}">
            <x14:iconSet iconSet="3Symbols2" showValue="0" custom="1">
              <x14:cfvo type="percent">
                <xm:f>0</xm:f>
              </x14:cfvo>
              <x14:cfvo type="num">
                <xm:f>0</xm:f>
              </x14:cfvo>
              <x14:cfvo type="num">
                <xm:f>1</xm:f>
              </x14:cfvo>
              <x14:cfIcon iconSet="3Symbols2" iconId="0"/>
              <x14:cfIcon iconSet="3Symbols2" iconId="1"/>
              <x14:cfIcon iconSet="3Symbols2" iconId="2"/>
            </x14:iconSet>
          </x14:cfRule>
          <xm:sqref>C19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45E9-5340-4738-90CD-9A56AA378AA0}">
  <sheetPr>
    <pageSetUpPr fitToPage="1"/>
  </sheetPr>
  <dimension ref="B2:H15"/>
  <sheetViews>
    <sheetView workbookViewId="0">
      <selection activeCell="B15" sqref="B15"/>
    </sheetView>
  </sheetViews>
  <sheetFormatPr baseColWidth="10" defaultColWidth="11.42578125" defaultRowHeight="12.75"/>
  <cols>
    <col min="1" max="1" width="2.85546875" style="147" customWidth="1"/>
    <col min="2" max="2" width="25.28515625" style="147" customWidth="1"/>
    <col min="3" max="3" width="23.42578125" style="147" customWidth="1"/>
    <col min="4" max="4" width="25.42578125" style="147" customWidth="1"/>
    <col min="5" max="5" width="28.85546875" style="147" customWidth="1"/>
    <col min="6" max="6" width="18.7109375" style="147" customWidth="1"/>
    <col min="7" max="7" width="16" style="147" customWidth="1"/>
    <col min="8" max="8" width="25.5703125" style="147" customWidth="1"/>
    <col min="9" max="16384" width="11.42578125" style="147"/>
  </cols>
  <sheetData>
    <row r="2" spans="2:8" ht="15.75">
      <c r="B2" s="756" t="s">
        <v>1803</v>
      </c>
      <c r="C2" s="757"/>
      <c r="D2" s="757"/>
      <c r="E2" s="757"/>
      <c r="F2" s="757"/>
      <c r="G2" s="757"/>
      <c r="H2" s="757"/>
    </row>
    <row r="3" spans="2:8" ht="15.75">
      <c r="B3" s="758"/>
    </row>
    <row r="5" spans="2:8" ht="25.5">
      <c r="B5" s="759" t="s">
        <v>1804</v>
      </c>
      <c r="C5" s="760" t="s">
        <v>553</v>
      </c>
      <c r="D5" s="761" t="s">
        <v>550</v>
      </c>
      <c r="E5" s="761" t="s">
        <v>548</v>
      </c>
      <c r="F5" s="761" t="s">
        <v>551</v>
      </c>
      <c r="G5" s="761" t="s">
        <v>540</v>
      </c>
      <c r="H5" s="761" t="s">
        <v>547</v>
      </c>
    </row>
    <row r="6" spans="2:8" ht="53.45" customHeight="1">
      <c r="B6" s="1067" t="s">
        <v>1805</v>
      </c>
      <c r="C6" s="762" t="s">
        <v>554</v>
      </c>
      <c r="D6" s="763" t="s">
        <v>634</v>
      </c>
      <c r="E6" s="763" t="s">
        <v>555</v>
      </c>
      <c r="F6" s="763" t="s">
        <v>194</v>
      </c>
      <c r="G6" s="763" t="s">
        <v>541</v>
      </c>
      <c r="H6" s="763" t="s">
        <v>194</v>
      </c>
    </row>
    <row r="7" spans="2:8" ht="53.45" customHeight="1">
      <c r="B7" s="1068"/>
      <c r="C7" s="764"/>
      <c r="D7" s="765" t="s">
        <v>635</v>
      </c>
      <c r="E7" s="923" t="s">
        <v>2157</v>
      </c>
      <c r="F7" s="765" t="s">
        <v>194</v>
      </c>
      <c r="G7" s="765" t="s">
        <v>541</v>
      </c>
      <c r="H7" s="765" t="s">
        <v>194</v>
      </c>
    </row>
    <row r="8" spans="2:8" ht="53.45" customHeight="1">
      <c r="B8" s="1069"/>
      <c r="C8" s="766" t="s">
        <v>636</v>
      </c>
      <c r="D8" s="767" t="s">
        <v>633</v>
      </c>
      <c r="E8" s="924" t="s">
        <v>2158</v>
      </c>
      <c r="F8" s="767" t="s">
        <v>628</v>
      </c>
      <c r="G8" s="767" t="s">
        <v>545</v>
      </c>
      <c r="H8" s="767" t="s">
        <v>629</v>
      </c>
    </row>
    <row r="9" spans="2:8" ht="53.45" customHeight="1">
      <c r="B9" s="768" t="s">
        <v>89</v>
      </c>
      <c r="C9" s="769"/>
      <c r="D9" s="770" t="s">
        <v>538</v>
      </c>
      <c r="E9" s="770" t="s">
        <v>556</v>
      </c>
      <c r="F9" s="770" t="s">
        <v>552</v>
      </c>
      <c r="G9" s="770" t="s">
        <v>541</v>
      </c>
      <c r="H9" s="770" t="s">
        <v>546</v>
      </c>
    </row>
    <row r="10" spans="2:8" ht="53.45" customHeight="1">
      <c r="B10" s="759" t="s">
        <v>115</v>
      </c>
      <c r="C10" s="771"/>
      <c r="D10" s="772" t="s">
        <v>549</v>
      </c>
      <c r="E10" s="772" t="s">
        <v>557</v>
      </c>
      <c r="F10" s="772" t="s">
        <v>539</v>
      </c>
      <c r="G10" s="772" t="s">
        <v>545</v>
      </c>
      <c r="H10" s="772" t="str">
        <f>H8</f>
        <v>Direkte Verbrennung von Kat. 1, keine Referenz für andere Inputs</v>
      </c>
    </row>
    <row r="11" spans="2:8">
      <c r="B11" s="5"/>
      <c r="C11" s="7"/>
      <c r="D11" s="7"/>
      <c r="E11" s="7"/>
      <c r="F11" s="7"/>
      <c r="G11" s="7"/>
      <c r="H11" s="7"/>
    </row>
    <row r="12" spans="2:8" ht="51" customHeight="1">
      <c r="B12" s="773" t="s">
        <v>638</v>
      </c>
      <c r="C12" s="774"/>
      <c r="D12" s="774" t="s">
        <v>637</v>
      </c>
      <c r="E12" s="774" t="str">
        <f>E9</f>
        <v>Teilweise Vor- und Nachbehandlung, beim Bauernhof in Landwirtschaftszone</v>
      </c>
      <c r="F12" s="774" t="s">
        <v>552</v>
      </c>
      <c r="G12" s="774" t="s">
        <v>541</v>
      </c>
      <c r="H12" s="775" t="s">
        <v>568</v>
      </c>
    </row>
    <row r="13" spans="2:8" ht="51" customHeight="1">
      <c r="B13" s="776" t="s">
        <v>2159</v>
      </c>
      <c r="C13" s="777" t="s">
        <v>636</v>
      </c>
      <c r="D13" s="777" t="s">
        <v>544</v>
      </c>
      <c r="E13" s="777" t="s">
        <v>558</v>
      </c>
      <c r="F13" s="777" t="s">
        <v>543</v>
      </c>
      <c r="G13" s="777" t="s">
        <v>542</v>
      </c>
      <c r="H13" s="778" t="s">
        <v>1677</v>
      </c>
    </row>
    <row r="15" spans="2:8">
      <c r="B15" s="1056" t="s">
        <v>851</v>
      </c>
    </row>
  </sheetData>
  <sheetProtection algorithmName="SHA-512" hashValue="bgC6e2kn5lt5ybgqYe0pqg1gvJlDCVrBHRgWqczTCEfH4697c8TMEY5OQoXU14yN5nlEWwf8tcRTcuMdOTv2rw==" saltValue="RfIOhqmN/W2scxHjG5/RgQ==" spinCount="100000" sheet="1" objects="1" scenarios="1"/>
  <mergeCells count="1">
    <mergeCell ref="B6:B8"/>
  </mergeCells>
  <hyperlinks>
    <hyperlink ref="B15" location="MainInput!H10" display="Zurück zur Eingabe" xr:uid="{295F145A-F49E-4C9F-8C9C-7A7977B4341D}"/>
  </hyperlinks>
  <pageMargins left="0.70866141732283472" right="0.70866141732283472" top="0.78740157480314965" bottom="0.78740157480314965"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7:AO50"/>
  <sheetViews>
    <sheetView workbookViewId="0">
      <selection activeCell="E16" sqref="E16"/>
    </sheetView>
  </sheetViews>
  <sheetFormatPr baseColWidth="10" defaultColWidth="11.42578125" defaultRowHeight="12.75"/>
  <cols>
    <col min="1" max="2" width="11.42578125" style="280"/>
    <col min="3" max="4" width="12.42578125" style="280" bestFit="1" customWidth="1"/>
    <col min="5" max="16384" width="11.42578125" style="280"/>
  </cols>
  <sheetData>
    <row r="17" spans="2:5">
      <c r="B17" s="737"/>
      <c r="C17" s="738"/>
      <c r="D17" s="738"/>
      <c r="E17" s="739"/>
    </row>
    <row r="18" spans="2:5">
      <c r="B18" s="738"/>
      <c r="C18" s="738"/>
      <c r="D18" s="738"/>
    </row>
    <row r="19" spans="2:5">
      <c r="D19" s="738"/>
      <c r="E19" s="739"/>
    </row>
    <row r="47" spans="13:41">
      <c r="M47" s="738"/>
      <c r="N47" s="738"/>
      <c r="O47" s="738"/>
      <c r="P47" s="738"/>
      <c r="Q47" s="738"/>
      <c r="R47" s="738"/>
      <c r="S47" s="738"/>
      <c r="T47" s="738"/>
      <c r="U47" s="738"/>
      <c r="V47" s="738"/>
      <c r="W47" s="738"/>
      <c r="X47" s="738"/>
      <c r="Y47" s="738"/>
      <c r="Z47" s="738"/>
      <c r="AA47" s="738"/>
      <c r="AB47" s="738"/>
      <c r="AC47" s="738"/>
      <c r="AE47" s="738"/>
      <c r="AJ47" s="738"/>
      <c r="AL47" s="740"/>
      <c r="AM47" s="740"/>
      <c r="AN47" s="740"/>
      <c r="AO47" s="740"/>
    </row>
    <row r="48" spans="13:41">
      <c r="M48" s="738"/>
      <c r="N48" s="738"/>
      <c r="O48" s="738"/>
      <c r="P48" s="738"/>
      <c r="Q48" s="738"/>
      <c r="R48" s="738"/>
      <c r="S48" s="738"/>
      <c r="T48" s="738"/>
      <c r="U48" s="738"/>
      <c r="V48" s="738"/>
      <c r="W48" s="738"/>
      <c r="X48" s="738"/>
      <c r="Y48" s="738"/>
      <c r="Z48" s="738"/>
      <c r="AA48" s="738"/>
      <c r="AB48" s="738"/>
      <c r="AC48" s="738"/>
      <c r="AE48" s="738"/>
      <c r="AJ48" s="738"/>
    </row>
    <row r="49" spans="11:37">
      <c r="K49" s="738"/>
      <c r="M49" s="738"/>
      <c r="N49" s="738"/>
      <c r="O49" s="738"/>
      <c r="P49" s="738"/>
      <c r="Q49" s="738"/>
      <c r="R49" s="738"/>
      <c r="S49" s="738"/>
      <c r="T49" s="738"/>
      <c r="U49" s="738"/>
      <c r="V49" s="738"/>
      <c r="X49" s="738"/>
      <c r="Y49" s="738"/>
      <c r="Z49" s="738"/>
      <c r="AA49" s="738"/>
      <c r="AB49" s="738"/>
      <c r="AC49" s="738"/>
      <c r="AE49" s="738"/>
      <c r="AJ49" s="738"/>
      <c r="AK49" s="738"/>
    </row>
    <row r="50" spans="11:37">
      <c r="K50" s="738"/>
      <c r="M50" s="738"/>
      <c r="N50" s="738"/>
      <c r="O50" s="738"/>
      <c r="P50" s="738"/>
      <c r="Q50" s="738"/>
      <c r="R50" s="738"/>
      <c r="S50" s="738"/>
      <c r="T50" s="738"/>
      <c r="U50" s="738"/>
      <c r="V50" s="738"/>
      <c r="X50" s="738"/>
      <c r="Y50" s="738"/>
      <c r="Z50" s="738"/>
      <c r="AA50" s="738"/>
      <c r="AB50" s="738"/>
      <c r="AC50" s="738"/>
      <c r="AE50" s="738"/>
      <c r="AG50" s="738"/>
      <c r="AJ50" s="738"/>
      <c r="AK50" s="738"/>
    </row>
  </sheetData>
  <pageMargins left="0.7" right="0.7" top="0.78740157499999996" bottom="0.78740157499999996"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FF99"/>
    <pageSetUpPr fitToPage="1"/>
  </sheetPr>
  <dimension ref="A1:R56"/>
  <sheetViews>
    <sheetView topLeftCell="F2" workbookViewId="0">
      <selection activeCell="M31" sqref="M31"/>
    </sheetView>
  </sheetViews>
  <sheetFormatPr baseColWidth="10" defaultColWidth="11.42578125" defaultRowHeight="12.75" outlineLevelRow="1" outlineLevelCol="1"/>
  <cols>
    <col min="1" max="1" width="5.42578125" style="80" hidden="1" customWidth="1" outlineLevel="1"/>
    <col min="2" max="5" width="27.7109375" style="80" hidden="1" customWidth="1" outlineLevel="1"/>
    <col min="6" max="6" width="45.28515625" style="80" bestFit="1" customWidth="1" collapsed="1"/>
    <col min="7" max="7" width="19.28515625" style="80" customWidth="1"/>
    <col min="8" max="8" width="13.42578125" style="80" customWidth="1"/>
    <col min="9" max="9" width="9.85546875" style="80" customWidth="1"/>
    <col min="10" max="10" width="2.42578125" style="80" customWidth="1"/>
    <col min="11" max="11" width="15.28515625" style="80" customWidth="1"/>
    <col min="12" max="12" width="11.5703125" style="80" customWidth="1"/>
    <col min="13" max="13" width="14" style="80" customWidth="1"/>
    <col min="14" max="14" width="15.5703125" style="80" customWidth="1"/>
    <col min="15" max="15" width="17.140625" style="80" customWidth="1"/>
    <col min="16" max="16" width="8.85546875" style="80" customWidth="1"/>
    <col min="17" max="17" width="12.7109375" style="80" customWidth="1"/>
    <col min="18" max="18" width="11.7109375" style="80" customWidth="1"/>
    <col min="19" max="16384" width="11.42578125" style="80"/>
  </cols>
  <sheetData>
    <row r="1" spans="1:18" hidden="1" outlineLevel="1">
      <c r="L1" s="81">
        <v>29</v>
      </c>
      <c r="M1" s="81">
        <v>35</v>
      </c>
      <c r="N1" s="81">
        <v>34</v>
      </c>
      <c r="O1" s="81">
        <v>31</v>
      </c>
    </row>
    <row r="2" spans="1:18" ht="63.75" collapsed="1">
      <c r="A2" s="80">
        <v>29</v>
      </c>
      <c r="B2" s="785" t="s">
        <v>11</v>
      </c>
      <c r="C2" s="784" t="s">
        <v>1845</v>
      </c>
      <c r="D2" s="784" t="s">
        <v>1846</v>
      </c>
      <c r="E2" s="784" t="str" cm="1">
        <f t="array" aca="1" ref="E2:E56" ca="1">OFFSET(B2:B56,0,sprache-1)</f>
        <v>Englisch</v>
      </c>
      <c r="F2" s="82">
        <f>name</f>
        <v>0</v>
      </c>
      <c r="G2" s="83"/>
      <c r="H2" s="84" t="str">
        <f>L2</f>
        <v>Eco-indicator 99 points</v>
      </c>
      <c r="I2" s="85" t="s">
        <v>348</v>
      </c>
      <c r="L2" s="86" t="str">
        <f>INDEX(menuesBG!$1:$1048576,L1,sprache)</f>
        <v>Eco-indicator 99 points</v>
      </c>
      <c r="M2" s="86" t="str">
        <f>INDEX(menuesBG!$1:$1048576,$M1,sprache)</f>
        <v>Carbon footprint 100a 2013</v>
      </c>
      <c r="N2" s="86" t="str">
        <f>INDEX(menuesBG!$1:$1048576,N1,sprache)</f>
        <v>Demand for non-renewable energy resources</v>
      </c>
      <c r="O2" s="86" t="str">
        <f>INDEX(menuesBG!$1:$1048576,O1,sprache)</f>
        <v>Ecological scarcity points 2013</v>
      </c>
      <c r="P2" s="140" t="str">
        <f>M2</f>
        <v>Carbon footprint 100a 2013</v>
      </c>
      <c r="Q2" s="140" t="str">
        <f>N2</f>
        <v>Demand for non-renewable energy resources</v>
      </c>
      <c r="R2" s="140" t="str">
        <f>O2</f>
        <v>Ecological scarcity points 2013</v>
      </c>
    </row>
    <row r="3" spans="1:18">
      <c r="A3" s="80">
        <v>56</v>
      </c>
      <c r="B3" s="171"/>
      <c r="C3" s="21"/>
      <c r="D3" s="171"/>
      <c r="E3" s="21">
        <f ca="1"/>
        <v>0</v>
      </c>
      <c r="F3" s="83"/>
      <c r="G3" s="85"/>
      <c r="H3" s="85" t="str">
        <f>L3</f>
        <v>Pkt</v>
      </c>
      <c r="I3" s="87"/>
      <c r="L3" s="88" t="s">
        <v>48</v>
      </c>
      <c r="M3" s="88" t="s">
        <v>47</v>
      </c>
      <c r="N3" s="88" t="s">
        <v>46</v>
      </c>
      <c r="O3" s="88" t="s">
        <v>48</v>
      </c>
      <c r="P3" s="141" t="s">
        <v>341</v>
      </c>
      <c r="Q3" s="141" t="s">
        <v>341</v>
      </c>
      <c r="R3" s="141" t="s">
        <v>341</v>
      </c>
    </row>
    <row r="4" spans="1:18">
      <c r="A4" s="80">
        <v>50</v>
      </c>
      <c r="B4" s="80" t="s">
        <v>34</v>
      </c>
      <c r="C4" s="80" t="s">
        <v>390</v>
      </c>
      <c r="D4" s="80" t="s">
        <v>390</v>
      </c>
      <c r="E4" s="80" t="str">
        <f ca="1"/>
        <v>Infrastructure</v>
      </c>
      <c r="F4" s="89" t="str">
        <f ca="1">E4</f>
        <v>Infrastructure</v>
      </c>
      <c r="G4" s="89"/>
      <c r="H4" s="90"/>
      <c r="I4" s="91" t="e">
        <f t="shared" ref="I4:I13" si="0">L4/L$14</f>
        <v>#N/A</v>
      </c>
      <c r="L4" s="19" t="e">
        <f>Results!H27</f>
        <v>#N/A</v>
      </c>
      <c r="M4" s="19" t="e">
        <f>SUM(LCIAbg!$C$9:$E$9)</f>
        <v>#N/A</v>
      </c>
      <c r="N4" s="19" t="e">
        <f>SUM(LCIAbg!$C$10:$E$10)</f>
        <v>#N/A</v>
      </c>
      <c r="O4" s="19" t="e">
        <f>SUM(LCIAbg!$C$11:$E$11)</f>
        <v>#N/A</v>
      </c>
      <c r="P4" s="142" t="e">
        <f t="shared" ref="P4:P13" si="1">M4/M$14</f>
        <v>#N/A</v>
      </c>
      <c r="Q4" s="142" t="e">
        <f t="shared" ref="Q4:Q13" si="2">N4/N$14</f>
        <v>#N/A</v>
      </c>
      <c r="R4" s="142" t="e">
        <f t="shared" ref="R4:R13" si="3">O4/O$14</f>
        <v>#N/A</v>
      </c>
    </row>
    <row r="5" spans="1:18">
      <c r="A5" s="80">
        <v>45</v>
      </c>
      <c r="B5" s="80" t="s">
        <v>298</v>
      </c>
      <c r="C5" s="80" t="s">
        <v>479</v>
      </c>
      <c r="D5" s="80" t="s">
        <v>1260</v>
      </c>
      <c r="E5" s="80" t="str">
        <f ca="1"/>
        <v>External energy demand</v>
      </c>
      <c r="F5" s="89" t="str">
        <f t="shared" ref="F5:F14" ca="1" si="4">E5</f>
        <v>External energy demand</v>
      </c>
      <c r="G5" s="89"/>
      <c r="H5" s="83"/>
      <c r="I5" s="91" t="e">
        <f t="shared" si="0"/>
        <v>#N/A</v>
      </c>
      <c r="L5" s="19" t="e">
        <f>Results!H28</f>
        <v>#N/A</v>
      </c>
      <c r="M5" s="19" t="e">
        <f>MainInput!W52</f>
        <v>#N/A</v>
      </c>
      <c r="N5" s="19" t="e">
        <f>MainInput!X52</f>
        <v>#N/A</v>
      </c>
      <c r="O5" s="19" t="e">
        <f>MainInput!Y52</f>
        <v>#N/A</v>
      </c>
      <c r="P5" s="142" t="e">
        <f t="shared" si="1"/>
        <v>#N/A</v>
      </c>
      <c r="Q5" s="142" t="e">
        <f t="shared" si="2"/>
        <v>#N/A</v>
      </c>
      <c r="R5" s="142" t="e">
        <f t="shared" si="3"/>
        <v>#N/A</v>
      </c>
    </row>
    <row r="6" spans="1:18">
      <c r="A6" s="80">
        <v>46</v>
      </c>
      <c r="B6" s="80" t="s">
        <v>346</v>
      </c>
      <c r="C6" s="80" t="s">
        <v>387</v>
      </c>
      <c r="D6" s="80" t="s">
        <v>1261</v>
      </c>
      <c r="E6" s="80" t="str">
        <f ca="1"/>
        <v>Purchased substrates</v>
      </c>
      <c r="F6" s="89" t="str">
        <f t="shared" ca="1" si="4"/>
        <v>Purchased substrates</v>
      </c>
      <c r="G6" s="89"/>
      <c r="H6" s="83"/>
      <c r="I6" s="91" t="e">
        <f t="shared" si="0"/>
        <v>#N/A</v>
      </c>
      <c r="L6" s="19">
        <f>Results!H29</f>
        <v>0</v>
      </c>
      <c r="M6" s="19">
        <f>Substrates!$AX147+MainInput!W23</f>
        <v>0</v>
      </c>
      <c r="N6" s="19">
        <f>Substrates!$AX148+MainInput!X23</f>
        <v>0</v>
      </c>
      <c r="O6" s="19">
        <f>Substrates!$AX149+MainInput!Y23</f>
        <v>0</v>
      </c>
      <c r="P6" s="142" t="e">
        <f t="shared" si="1"/>
        <v>#N/A</v>
      </c>
      <c r="Q6" s="142" t="e">
        <f t="shared" si="2"/>
        <v>#N/A</v>
      </c>
      <c r="R6" s="142" t="e">
        <f t="shared" si="3"/>
        <v>#N/A</v>
      </c>
    </row>
    <row r="7" spans="1:18">
      <c r="A7" s="80">
        <v>20</v>
      </c>
      <c r="B7" s="80" t="s">
        <v>860</v>
      </c>
      <c r="C7" s="80" t="s">
        <v>392</v>
      </c>
      <c r="D7" s="80" t="s">
        <v>1254</v>
      </c>
      <c r="E7" s="80" t="str">
        <f ca="1"/>
        <v>Direct emissions (e.g. slurry storage, post-rotting)</v>
      </c>
      <c r="F7" s="89" t="str">
        <f t="shared" ca="1" si="4"/>
        <v>Direct emissions (e.g. slurry storage, post-rotting)</v>
      </c>
      <c r="G7" s="89"/>
      <c r="H7" s="83"/>
      <c r="I7" s="91" t="e">
        <f t="shared" si="0"/>
        <v>#N/A</v>
      </c>
      <c r="L7" s="19" t="e">
        <f>Results!H30</f>
        <v>#N/A</v>
      </c>
      <c r="M7" s="19" t="e">
        <f>LCIAbg!$N$9</f>
        <v>#N/A</v>
      </c>
      <c r="N7" s="19" t="e">
        <f>LCIAbg!$N$10</f>
        <v>#N/A</v>
      </c>
      <c r="O7" s="19" t="e">
        <f>LCIAbg!$N$11</f>
        <v>#N/A</v>
      </c>
      <c r="P7" s="142" t="e">
        <f t="shared" si="1"/>
        <v>#N/A</v>
      </c>
      <c r="Q7" s="142" t="e">
        <f t="shared" si="2"/>
        <v>#N/A</v>
      </c>
      <c r="R7" s="142" t="e">
        <f t="shared" si="3"/>
        <v>#N/A</v>
      </c>
    </row>
    <row r="8" spans="1:18">
      <c r="A8" s="80">
        <v>47</v>
      </c>
      <c r="B8" s="80" t="s">
        <v>30</v>
      </c>
      <c r="C8" s="80" t="s">
        <v>388</v>
      </c>
      <c r="D8" s="80" t="s">
        <v>388</v>
      </c>
      <c r="E8" s="80" t="str">
        <f ca="1"/>
        <v>Transports</v>
      </c>
      <c r="F8" s="89" t="str">
        <f t="shared" ca="1" si="4"/>
        <v>Transports</v>
      </c>
      <c r="G8" s="89"/>
      <c r="H8" s="83"/>
      <c r="I8" s="91" t="e">
        <f t="shared" si="0"/>
        <v>#N/A</v>
      </c>
      <c r="L8" s="19">
        <f>Results!H31</f>
        <v>0</v>
      </c>
      <c r="M8" s="19">
        <f>SUM(Substrates!BA128:BA129,MainInput!W102)</f>
        <v>0</v>
      </c>
      <c r="N8" s="19">
        <f>SUM(Substrates!BB128:BB129,MainInput!X102)</f>
        <v>0</v>
      </c>
      <c r="O8" s="19">
        <f>SUM(Substrates!BC128:BC129,MainInput!Y102)</f>
        <v>0</v>
      </c>
      <c r="P8" s="142" t="e">
        <f t="shared" si="1"/>
        <v>#N/A</v>
      </c>
      <c r="Q8" s="142" t="e">
        <f t="shared" si="2"/>
        <v>#N/A</v>
      </c>
      <c r="R8" s="142" t="e">
        <f t="shared" si="3"/>
        <v>#N/A</v>
      </c>
    </row>
    <row r="9" spans="1:18">
      <c r="A9" s="80">
        <v>24</v>
      </c>
      <c r="B9" s="168" t="s">
        <v>1883</v>
      </c>
      <c r="C9" s="80" t="s">
        <v>859</v>
      </c>
      <c r="D9" s="80" t="s">
        <v>1203</v>
      </c>
      <c r="E9" s="80" t="str">
        <f ca="1"/>
        <v>Biogas losses (methane slip, treatment, interruptions)</v>
      </c>
      <c r="F9" s="89" t="str">
        <f t="shared" ca="1" si="4"/>
        <v>Biogas losses (methane slip, treatment, interruptions)</v>
      </c>
      <c r="G9" s="89"/>
      <c r="H9" s="83"/>
      <c r="I9" s="91" t="e">
        <f t="shared" si="0"/>
        <v>#N/A</v>
      </c>
      <c r="L9" s="19">
        <f>Results!H32</f>
        <v>0</v>
      </c>
      <c r="M9" s="19">
        <f>MainInput!W59</f>
        <v>0</v>
      </c>
      <c r="N9" s="19">
        <f>MainInput!X59</f>
        <v>0</v>
      </c>
      <c r="O9" s="19">
        <f>MainInput!Y59</f>
        <v>0</v>
      </c>
      <c r="P9" s="142" t="e">
        <f t="shared" si="1"/>
        <v>#N/A</v>
      </c>
      <c r="Q9" s="142" t="e">
        <f t="shared" si="2"/>
        <v>#N/A</v>
      </c>
      <c r="R9" s="142" t="e">
        <f t="shared" si="3"/>
        <v>#N/A</v>
      </c>
    </row>
    <row r="10" spans="1:18">
      <c r="A10" s="80">
        <v>16</v>
      </c>
      <c r="B10" s="168" t="s">
        <v>1884</v>
      </c>
      <c r="C10" s="80" t="s">
        <v>1737</v>
      </c>
      <c r="D10" s="80" t="s">
        <v>1738</v>
      </c>
      <c r="E10" s="80" t="str">
        <f ca="1"/>
        <v>Biomethane: sales and consumption outside the plant (11.4 kWh Ho/m3)</v>
      </c>
      <c r="F10" s="89" t="str">
        <f t="shared" ca="1" si="4"/>
        <v>Biomethane: sales and consumption outside the plant (11.4 kWh Ho/m3)</v>
      </c>
      <c r="G10" s="89"/>
      <c r="H10" s="83"/>
      <c r="I10" s="91" t="e">
        <f t="shared" si="0"/>
        <v>#N/A</v>
      </c>
      <c r="L10" s="19">
        <f>Results!H33</f>
        <v>0</v>
      </c>
      <c r="M10" s="19">
        <f>MainInput!W62</f>
        <v>0</v>
      </c>
      <c r="N10" s="19">
        <f>MainInput!X62</f>
        <v>0</v>
      </c>
      <c r="O10" s="19">
        <f>MainInput!Y62</f>
        <v>0</v>
      </c>
      <c r="P10" s="142" t="e">
        <f t="shared" si="1"/>
        <v>#N/A</v>
      </c>
      <c r="Q10" s="142" t="e">
        <f t="shared" si="2"/>
        <v>#N/A</v>
      </c>
      <c r="R10" s="142" t="e">
        <f t="shared" si="3"/>
        <v>#N/A</v>
      </c>
    </row>
    <row r="11" spans="1:18">
      <c r="A11" s="80">
        <v>116</v>
      </c>
      <c r="B11" s="168" t="s">
        <v>1885</v>
      </c>
      <c r="C11" s="80" t="s">
        <v>1749</v>
      </c>
      <c r="D11" s="80" t="s">
        <v>1750</v>
      </c>
      <c r="E11" s="80" t="str">
        <f ca="1"/>
        <v>Biogas: sale and consumption outside the plant (6.5 kWh Ho/m3)</v>
      </c>
      <c r="F11" s="89" t="str">
        <f t="shared" ca="1" si="4"/>
        <v>Biogas: sale and consumption outside the plant (6.5 kWh Ho/m3)</v>
      </c>
      <c r="G11" s="89"/>
      <c r="H11" s="83"/>
      <c r="I11" s="91" t="e">
        <f t="shared" si="0"/>
        <v>#N/A</v>
      </c>
      <c r="L11" s="19">
        <f>Results!H34</f>
        <v>0</v>
      </c>
      <c r="M11" s="19">
        <f>MainInput!W63</f>
        <v>0</v>
      </c>
      <c r="N11" s="19">
        <f>MainInput!X63</f>
        <v>0</v>
      </c>
      <c r="O11" s="19">
        <f>MainInput!Y63</f>
        <v>0</v>
      </c>
      <c r="P11" s="142" t="e">
        <f t="shared" si="1"/>
        <v>#N/A</v>
      </c>
      <c r="Q11" s="142" t="e">
        <f t="shared" si="2"/>
        <v>#N/A</v>
      </c>
      <c r="R11" s="142" t="e">
        <f t="shared" si="3"/>
        <v>#N/A</v>
      </c>
    </row>
    <row r="12" spans="1:18">
      <c r="A12" s="80">
        <v>48</v>
      </c>
      <c r="B12" s="80" t="s">
        <v>539</v>
      </c>
      <c r="C12" s="80" t="s">
        <v>754</v>
      </c>
      <c r="D12" s="80" t="s">
        <v>1262</v>
      </c>
      <c r="E12" s="80" t="str">
        <f ca="1"/>
        <v>Incineration</v>
      </c>
      <c r="F12" s="89" t="str">
        <f t="shared" ca="1" si="4"/>
        <v>Incineration</v>
      </c>
      <c r="G12" s="89"/>
      <c r="H12" s="83"/>
      <c r="I12" s="91" t="e">
        <f t="shared" ca="1" si="0"/>
        <v>#N/A</v>
      </c>
      <c r="L12" s="19">
        <f ca="1">Results!H35</f>
        <v>0</v>
      </c>
      <c r="M12" s="19">
        <f ca="1">SUM(MainInput!W60,MainInput!W64,MainInput!W66,MainInput!W76)</f>
        <v>0</v>
      </c>
      <c r="N12" s="19">
        <f ca="1">SUM(MainInput!X60,MainInput!X64,MainInput!X66,MainInput!X76)</f>
        <v>0</v>
      </c>
      <c r="O12" s="19">
        <f ca="1">SUM(MainInput!Y60,MainInput!Y64,MainInput!Y66,MainInput!Y76)</f>
        <v>0</v>
      </c>
      <c r="P12" s="142" t="e">
        <f t="shared" ca="1" si="1"/>
        <v>#N/A</v>
      </c>
      <c r="Q12" s="142" t="e">
        <f t="shared" ca="1" si="2"/>
        <v>#N/A</v>
      </c>
      <c r="R12" s="142" t="e">
        <f t="shared" ca="1" si="3"/>
        <v>#N/A</v>
      </c>
    </row>
    <row r="13" spans="1:18">
      <c r="A13" s="80">
        <v>28</v>
      </c>
      <c r="B13" s="80" t="s">
        <v>1768</v>
      </c>
      <c r="C13" s="80" t="s">
        <v>1609</v>
      </c>
      <c r="D13" s="80" t="s">
        <v>1206</v>
      </c>
      <c r="E13" s="80" t="str">
        <f ca="1"/>
        <v>Treatment and storage of digestate</v>
      </c>
      <c r="F13" s="89" t="str">
        <f t="shared" ca="1" si="4"/>
        <v>Treatment and storage of digestate</v>
      </c>
      <c r="G13" s="89"/>
      <c r="H13" s="83"/>
      <c r="I13" s="91" t="e">
        <f t="shared" si="0"/>
        <v>#N/A</v>
      </c>
      <c r="L13" s="19" t="e">
        <f>Results!H36</f>
        <v>#N/A</v>
      </c>
      <c r="M13" s="19" t="e">
        <f>SUM(LCIAbg!$F$9:$K$9)</f>
        <v>#N/A</v>
      </c>
      <c r="N13" s="19" t="e">
        <f>SUM(LCIAbg!$F$10:$K$10)</f>
        <v>#N/A</v>
      </c>
      <c r="O13" s="19" t="e">
        <f>SUM(LCIAbg!$F$11:$K$11)</f>
        <v>#N/A</v>
      </c>
      <c r="P13" s="142" t="e">
        <f t="shared" si="1"/>
        <v>#N/A</v>
      </c>
      <c r="Q13" s="142" t="e">
        <f t="shared" si="2"/>
        <v>#N/A</v>
      </c>
      <c r="R13" s="142" t="e">
        <f t="shared" si="3"/>
        <v>#N/A</v>
      </c>
    </row>
    <row r="14" spans="1:18">
      <c r="A14" s="80">
        <v>17</v>
      </c>
      <c r="B14" s="80" t="s">
        <v>35</v>
      </c>
      <c r="C14" s="80" t="s">
        <v>35</v>
      </c>
      <c r="D14" s="80" t="s">
        <v>35</v>
      </c>
      <c r="E14" s="80" t="str">
        <f ca="1"/>
        <v>Total</v>
      </c>
      <c r="F14" s="92" t="str">
        <f t="shared" ca="1" si="4"/>
        <v>Total</v>
      </c>
      <c r="G14" s="92"/>
      <c r="H14" s="83"/>
      <c r="I14" s="91" t="e">
        <f>SUM(I4:I13)</f>
        <v>#N/A</v>
      </c>
      <c r="L14" s="16" t="e">
        <f>SUM(L4:L13)</f>
        <v>#N/A</v>
      </c>
      <c r="M14" s="16" t="e">
        <f>SUM(M4:M13)</f>
        <v>#N/A</v>
      </c>
      <c r="N14" s="16" t="e">
        <f>SUM(N4:N13)</f>
        <v>#N/A</v>
      </c>
      <c r="O14" s="16" t="e">
        <f>SUM(O4:O13)</f>
        <v>#N/A</v>
      </c>
      <c r="P14" s="142" t="e">
        <f>SUM(P4:P13)</f>
        <v>#N/A</v>
      </c>
      <c r="Q14" s="142" t="e">
        <f t="shared" ref="Q14:R14" si="5">SUM(Q4:Q13)</f>
        <v>#N/A</v>
      </c>
      <c r="R14" s="142" t="e">
        <f t="shared" si="5"/>
        <v>#N/A</v>
      </c>
    </row>
    <row r="15" spans="1:18" s="93" customFormat="1">
      <c r="A15" s="93">
        <v>49</v>
      </c>
      <c r="B15" s="80"/>
      <c r="C15" s="80"/>
      <c r="D15" s="80"/>
      <c r="E15" s="93">
        <f ca="1"/>
        <v>0</v>
      </c>
      <c r="G15" s="94"/>
      <c r="H15" s="95"/>
      <c r="I15" s="96"/>
    </row>
    <row r="16" spans="1:18">
      <c r="A16" s="80">
        <v>56</v>
      </c>
      <c r="B16" s="80" t="s">
        <v>286</v>
      </c>
      <c r="C16" s="80" t="s">
        <v>481</v>
      </c>
      <c r="D16" s="80" t="s">
        <v>1268</v>
      </c>
      <c r="E16" s="80" t="str">
        <f ca="1"/>
        <v>naturemade certification value</v>
      </c>
      <c r="F16" s="97" t="str">
        <f ca="1">E16</f>
        <v>naturemade certification value</v>
      </c>
      <c r="G16" s="98" t="str">
        <f ca="1">F14</f>
        <v>Total</v>
      </c>
      <c r="H16" s="99"/>
      <c r="I16" s="100"/>
      <c r="K16" s="101">
        <f>name</f>
        <v>0</v>
      </c>
      <c r="L16" s="102"/>
      <c r="M16" s="103"/>
      <c r="N16" s="103"/>
      <c r="O16" s="104" t="str">
        <f>INDEX(menuesBG!$1:$1048576,$A15,sprache)</f>
        <v>Environmental product declaration</v>
      </c>
    </row>
    <row r="17" spans="1:16">
      <c r="B17" s="80" t="s">
        <v>35</v>
      </c>
      <c r="C17" s="80" t="s">
        <v>35</v>
      </c>
      <c r="D17" s="80" t="s">
        <v>35</v>
      </c>
      <c r="E17" s="80" t="str">
        <f ca="1"/>
        <v>Total</v>
      </c>
      <c r="F17" s="97"/>
      <c r="G17" s="98" t="s">
        <v>347</v>
      </c>
      <c r="H17" s="100"/>
      <c r="I17" s="100"/>
      <c r="K17" s="105"/>
      <c r="L17" s="22" t="str">
        <f>L3</f>
        <v>Pkt</v>
      </c>
      <c r="M17" s="22" t="str">
        <f>M3</f>
        <v>kg CO2-eq</v>
      </c>
      <c r="N17" s="22" t="str">
        <f>N3</f>
        <v>MJ-eq</v>
      </c>
      <c r="O17" s="106" t="str">
        <f>O3</f>
        <v>Pkt</v>
      </c>
    </row>
    <row r="18" spans="1:16">
      <c r="A18" s="80">
        <v>51</v>
      </c>
      <c r="B18" s="80" t="s">
        <v>31</v>
      </c>
      <c r="C18" s="80" t="s">
        <v>480</v>
      </c>
      <c r="D18" s="80" t="s">
        <v>1264</v>
      </c>
      <c r="E18" s="80" t="str">
        <f ca="1"/>
        <v>Limit value, electricity</v>
      </c>
      <c r="F18" s="107" t="str">
        <f ca="1">E18</f>
        <v>Limit value, electricity</v>
      </c>
      <c r="G18" s="108">
        <f>INDEX(Prüfwert!$1:$1048576,8,MATCH($A18,Prüfwert!$1:$1,0))</f>
        <v>0</v>
      </c>
      <c r="H18" s="73">
        <f>Results!H40</f>
        <v>0</v>
      </c>
      <c r="I18" s="109" t="e">
        <f t="shared" ref="I18:I29" si="6">H18/H$29</f>
        <v>#N/A</v>
      </c>
      <c r="K18" s="105" t="str">
        <f ca="1">REPLACE(F18,1,IF(sprache=3,13,IF(sprache=1,10,14)),"")&amp;", kWh"</f>
        <v>electricity, kWh</v>
      </c>
      <c r="L18" s="393">
        <f>IF($G18&gt;0,$I18*L$14/$G18,0)</f>
        <v>0</v>
      </c>
      <c r="M18" s="394">
        <f t="shared" ref="M18:O21" si="7">IF($G18&gt;0,$I18*M$14/$G18,0)</f>
        <v>0</v>
      </c>
      <c r="N18" s="395">
        <f t="shared" si="7"/>
        <v>0</v>
      </c>
      <c r="O18" s="116">
        <f t="shared" si="7"/>
        <v>0</v>
      </c>
    </row>
    <row r="19" spans="1:16">
      <c r="A19" s="80">
        <v>52</v>
      </c>
      <c r="B19" s="80" t="s">
        <v>32</v>
      </c>
      <c r="C19" s="80" t="s">
        <v>385</v>
      </c>
      <c r="D19" s="80" t="s">
        <v>1265</v>
      </c>
      <c r="E19" s="80" t="str">
        <f ca="1"/>
        <v>Limit value, heat</v>
      </c>
      <c r="F19" s="107" t="str">
        <f t="shared" ref="F19:F29" ca="1" si="8">E19</f>
        <v>Limit value, heat</v>
      </c>
      <c r="G19" s="108">
        <f>INDEX(Prüfwert!$1:$1048576,8,MATCH($A19,Prüfwert!$1:$1,0))</f>
        <v>0</v>
      </c>
      <c r="H19" s="73">
        <f>Results!H41</f>
        <v>0</v>
      </c>
      <c r="I19" s="109" t="e">
        <f t="shared" si="6"/>
        <v>#N/A</v>
      </c>
      <c r="K19" s="105" t="str">
        <f ca="1">REPLACE(F19,1,IF(sprache=3,13,IF(sprache=1,10,14)),"")&amp;", kWh"</f>
        <v>heat, kWh</v>
      </c>
      <c r="L19" s="393">
        <f>IF($G19&gt;0,$I19*L$14/$G19,0)</f>
        <v>0</v>
      </c>
      <c r="M19" s="394">
        <f t="shared" si="7"/>
        <v>0</v>
      </c>
      <c r="N19" s="395">
        <f t="shared" si="7"/>
        <v>0</v>
      </c>
      <c r="O19" s="116">
        <f t="shared" si="7"/>
        <v>0</v>
      </c>
    </row>
    <row r="20" spans="1:16">
      <c r="A20" s="80">
        <v>53</v>
      </c>
      <c r="B20" s="80" t="s">
        <v>1192</v>
      </c>
      <c r="C20" s="80" t="s">
        <v>1193</v>
      </c>
      <c r="D20" s="80" t="s">
        <v>1266</v>
      </c>
      <c r="E20" s="80" t="str">
        <f ca="1"/>
        <v>Limit value, biomethane</v>
      </c>
      <c r="F20" s="107" t="str">
        <f t="shared" ca="1" si="8"/>
        <v>Limit value, biomethane</v>
      </c>
      <c r="G20" s="108">
        <f>INDEX(Prüfwert!$1:$1048576,8,MATCH($A20,Prüfwert!$1:$1,0))</f>
        <v>0</v>
      </c>
      <c r="H20" s="73">
        <f>Results!H42</f>
        <v>0</v>
      </c>
      <c r="I20" s="109" t="e">
        <f t="shared" si="6"/>
        <v>#N/A</v>
      </c>
      <c r="K20" s="105" t="str">
        <f ca="1">REPLACE(F20,1,IF(sprache=3,13,IF(sprache=1,10,14)),"")&amp;", kWh"</f>
        <v>biomethane, kWh</v>
      </c>
      <c r="L20" s="393">
        <f>IF($G20&gt;0,$I20*L$14/$G20,0)</f>
        <v>0</v>
      </c>
      <c r="M20" s="394">
        <f t="shared" si="7"/>
        <v>0</v>
      </c>
      <c r="N20" s="395">
        <f t="shared" si="7"/>
        <v>0</v>
      </c>
      <c r="O20" s="116">
        <f t="shared" si="7"/>
        <v>0</v>
      </c>
    </row>
    <row r="21" spans="1:16">
      <c r="A21" s="80">
        <v>117</v>
      </c>
      <c r="B21" s="80" t="s">
        <v>1191</v>
      </c>
      <c r="C21" s="80" t="s">
        <v>1186</v>
      </c>
      <c r="D21" s="80" t="s">
        <v>1607</v>
      </c>
      <c r="E21" s="80" t="str">
        <f ca="1"/>
        <v>Limit value, biogas</v>
      </c>
      <c r="F21" s="107" t="str">
        <f t="shared" ca="1" si="8"/>
        <v>Limit value, biogas</v>
      </c>
      <c r="G21" s="108">
        <f>INDEX(Prüfwert!$1:$1048576,8,MATCH($A21,Prüfwert!$1:$1,0))</f>
        <v>0</v>
      </c>
      <c r="H21" s="73">
        <f>Results!H43</f>
        <v>0</v>
      </c>
      <c r="I21" s="109" t="e">
        <f t="shared" si="6"/>
        <v>#N/A</v>
      </c>
      <c r="K21" s="579" t="str">
        <f ca="1">REPLACE(F21,1,IF(sprache=3,13,IF(sprache=1,10,14)),"")&amp;", kWh"</f>
        <v>biogas, kWh</v>
      </c>
      <c r="L21" s="117">
        <f>IF($G21&gt;0,$I21*L$14/$G21,0)</f>
        <v>0</v>
      </c>
      <c r="M21" s="118">
        <f t="shared" si="7"/>
        <v>0</v>
      </c>
      <c r="N21" s="119">
        <f t="shared" si="7"/>
        <v>0</v>
      </c>
      <c r="O21" s="120">
        <f t="shared" si="7"/>
        <v>0</v>
      </c>
    </row>
    <row r="22" spans="1:16">
      <c r="A22" s="80">
        <v>54</v>
      </c>
      <c r="B22" s="80" t="s">
        <v>711</v>
      </c>
      <c r="C22" s="80" t="s">
        <v>487</v>
      </c>
      <c r="D22" s="80" t="s">
        <v>1267</v>
      </c>
      <c r="E22" s="80" t="str">
        <f ca="1"/>
        <v>Reference, disposal</v>
      </c>
      <c r="F22" s="107" t="str">
        <f t="shared" ca="1" si="8"/>
        <v>Reference, disposal</v>
      </c>
      <c r="G22" s="369">
        <f>INDEX(Prüfwert!$1:$1048576,6,MATCH($A22,Prüfwert!$1:$1,0))</f>
        <v>0</v>
      </c>
      <c r="H22" s="73" t="e">
        <f>Results!H44</f>
        <v>#N/A</v>
      </c>
      <c r="I22" s="109" t="e">
        <f t="shared" si="6"/>
        <v>#N/A</v>
      </c>
      <c r="M22" s="110"/>
      <c r="N22" s="110"/>
      <c r="O22" s="110"/>
      <c r="P22" s="110"/>
    </row>
    <row r="23" spans="1:16">
      <c r="A23" s="80">
        <v>88</v>
      </c>
      <c r="B23" s="80" t="s">
        <v>713</v>
      </c>
      <c r="C23" s="80" t="s">
        <v>488</v>
      </c>
      <c r="D23" s="80" t="s">
        <v>1600</v>
      </c>
      <c r="E23" s="80" t="str">
        <f ca="1"/>
        <v>Reference, liquid manure storage</v>
      </c>
      <c r="F23" s="107" t="str">
        <f t="shared" ca="1" si="8"/>
        <v>Reference, liquid manure storage</v>
      </c>
      <c r="G23" s="368">
        <f>INDEX(Prüfwert!$1:$1048576,4,MATCH($A23,Prüfwert!$1:$1,0))</f>
        <v>0</v>
      </c>
      <c r="H23" s="73" t="e">
        <f>Results!H45</f>
        <v>#N/A</v>
      </c>
      <c r="I23" s="109" t="e">
        <f t="shared" si="6"/>
        <v>#N/A</v>
      </c>
      <c r="P23" s="110"/>
    </row>
    <row r="24" spans="1:16">
      <c r="A24" s="80">
        <v>89</v>
      </c>
      <c r="B24" s="80" t="s">
        <v>714</v>
      </c>
      <c r="C24" s="80" t="s">
        <v>412</v>
      </c>
      <c r="D24" s="80" t="s">
        <v>1234</v>
      </c>
      <c r="E24" s="80" t="str">
        <f ca="1"/>
        <v>Reference, compost</v>
      </c>
      <c r="F24" s="107" t="str">
        <f t="shared" ca="1" si="8"/>
        <v>Reference, compost</v>
      </c>
      <c r="G24" s="111">
        <f>INDEX(Prüfwert!$1:$1048576,8,MATCH($A24,Prüfwert!$1:$1,0))</f>
        <v>0</v>
      </c>
      <c r="H24" s="73" t="e">
        <f>INDEX(Prüfwert!$1:$1048576,10,MATCH($A24,Prüfwert!$1:$1,0))</f>
        <v>#N/A</v>
      </c>
      <c r="I24" s="109" t="e">
        <f t="shared" si="6"/>
        <v>#N/A</v>
      </c>
      <c r="M24" s="110"/>
      <c r="N24" s="110"/>
      <c r="O24" s="110"/>
      <c r="P24" s="110"/>
    </row>
    <row r="25" spans="1:16">
      <c r="A25" s="80">
        <v>90</v>
      </c>
      <c r="B25" s="80" t="s">
        <v>715</v>
      </c>
      <c r="C25" s="80" t="s">
        <v>489</v>
      </c>
      <c r="D25" s="80" t="s">
        <v>1601</v>
      </c>
      <c r="E25" s="80" t="str">
        <f ca="1"/>
        <v>Reference, fresh sewage sludge</v>
      </c>
      <c r="F25" s="107" t="str">
        <f t="shared" ca="1" si="8"/>
        <v>Reference, fresh sewage sludge</v>
      </c>
      <c r="G25" s="111">
        <f>INDEX(Prüfwert!$1:$1048576,5,MATCH($A25,Prüfwert!$1:$1,0))</f>
        <v>0</v>
      </c>
      <c r="H25" s="73">
        <f>INDEX(Prüfwert!$1:$1048576,10,MATCH($A25,Prüfwert!$1:$1,0))</f>
        <v>0</v>
      </c>
      <c r="I25" s="109" t="e">
        <f t="shared" si="6"/>
        <v>#N/A</v>
      </c>
    </row>
    <row r="26" spans="1:16">
      <c r="A26" s="80">
        <v>121</v>
      </c>
      <c r="B26" s="80" t="s">
        <v>1656</v>
      </c>
      <c r="C26" s="80" t="s">
        <v>1679</v>
      </c>
      <c r="D26" s="80" t="s">
        <v>1678</v>
      </c>
      <c r="E26" s="80" t="str">
        <f ca="1"/>
        <v>Reference, waste water, paper mill</v>
      </c>
      <c r="F26" s="107" t="str">
        <f t="shared" ca="1" si="8"/>
        <v>Reference, waste water, paper mill</v>
      </c>
      <c r="G26" s="111">
        <f>INDEX(Prüfwert!$1:$1048576,5,MATCH($A26,Prüfwert!$1:$1,0))</f>
        <v>0</v>
      </c>
      <c r="H26" s="73">
        <f>Results!H48</f>
        <v>0</v>
      </c>
      <c r="I26" s="109" t="e">
        <f t="shared" si="6"/>
        <v>#N/A</v>
      </c>
    </row>
    <row r="27" spans="1:16">
      <c r="A27" s="80">
        <v>101</v>
      </c>
      <c r="B27" s="80" t="s">
        <v>360</v>
      </c>
      <c r="C27" s="80" t="s">
        <v>491</v>
      </c>
      <c r="D27" s="80" t="s">
        <v>1238</v>
      </c>
      <c r="E27" s="80" t="str">
        <f ca="1"/>
        <v>Reference, fuel, cement plant</v>
      </c>
      <c r="F27" s="107" t="str">
        <f t="shared" ca="1" si="8"/>
        <v>Reference, fuel, cement plant</v>
      </c>
      <c r="G27" s="111">
        <f>INDEX(Prüfwert!$1:$1048576,5,MATCH($A27,Prüfwert!$1:$1,0))</f>
        <v>0</v>
      </c>
      <c r="H27" s="73" t="e">
        <f>INDEX(Prüfwert!$1:$1048576,10,MATCH($A27,Prüfwert!$1:$1,0))</f>
        <v>#N/A</v>
      </c>
      <c r="I27" s="109" t="e">
        <f t="shared" si="6"/>
        <v>#N/A</v>
      </c>
    </row>
    <row r="28" spans="1:16">
      <c r="A28" s="80">
        <v>63</v>
      </c>
      <c r="B28" s="80" t="s">
        <v>712</v>
      </c>
      <c r="C28" s="80" t="s">
        <v>486</v>
      </c>
      <c r="D28" s="80" t="s">
        <v>1220</v>
      </c>
      <c r="E28" s="80" t="str">
        <f ca="1"/>
        <v>Reference, direct emissions</v>
      </c>
      <c r="F28" s="107" t="str">
        <f t="shared" ca="1" si="8"/>
        <v>Reference, direct emissions</v>
      </c>
      <c r="G28" s="111"/>
      <c r="H28" s="73">
        <f>Results!H50</f>
        <v>0</v>
      </c>
      <c r="I28" s="109" t="e">
        <f t="shared" si="6"/>
        <v>#N/A</v>
      </c>
    </row>
    <row r="29" spans="1:16">
      <c r="A29" s="80">
        <v>17</v>
      </c>
      <c r="B29" s="80" t="s">
        <v>35</v>
      </c>
      <c r="C29" s="80" t="s">
        <v>35</v>
      </c>
      <c r="D29" s="80" t="s">
        <v>35</v>
      </c>
      <c r="E29" s="80" t="str">
        <f ca="1"/>
        <v>Total</v>
      </c>
      <c r="F29" s="97" t="str">
        <f t="shared" ca="1" si="8"/>
        <v>Total</v>
      </c>
      <c r="G29" s="97"/>
      <c r="H29" s="72" t="e">
        <f>SUM(H18:H28)</f>
        <v>#N/A</v>
      </c>
      <c r="I29" s="100" t="e">
        <f t="shared" si="6"/>
        <v>#N/A</v>
      </c>
      <c r="K29" s="112" t="str">
        <f ca="1">Results!G9</f>
        <v>Degree of fulfilment of global criterion</v>
      </c>
      <c r="L29" s="112"/>
      <c r="M29" s="113"/>
      <c r="N29" s="113"/>
      <c r="O29" s="114" t="e">
        <f>L14/H29</f>
        <v>#N/A</v>
      </c>
      <c r="P29" s="93"/>
    </row>
    <row r="30" spans="1:16">
      <c r="B30" s="80" t="s">
        <v>172</v>
      </c>
      <c r="C30" s="80" t="s">
        <v>485</v>
      </c>
      <c r="D30" s="80" t="s">
        <v>1207</v>
      </c>
      <c r="E30" s="80" t="str">
        <f ca="1"/>
        <v>Simple distance plant - Spreading/Disposal</v>
      </c>
      <c r="P30" s="25"/>
    </row>
    <row r="31" spans="1:16" outlineLevel="1">
      <c r="A31" s="80">
        <v>106</v>
      </c>
      <c r="B31" s="80" t="s">
        <v>1621</v>
      </c>
      <c r="C31" s="80" t="s">
        <v>960</v>
      </c>
      <c r="D31" s="80" t="s">
        <v>1606</v>
      </c>
      <c r="E31" s="80" t="str">
        <f ca="1"/>
        <v>Allocation according to exergy content (ecoinvent)</v>
      </c>
      <c r="F31" s="151" t="str">
        <f ca="1">E31</f>
        <v>Allocation according to exergy content (ecoinvent)</v>
      </c>
      <c r="G31" s="152" t="str">
        <f ca="1">F29</f>
        <v>Total</v>
      </c>
      <c r="H31" s="153"/>
      <c r="I31" s="154"/>
      <c r="K31" s="159">
        <f>name</f>
        <v>0</v>
      </c>
      <c r="L31" s="160"/>
      <c r="M31" s="161"/>
      <c r="N31" s="161"/>
      <c r="O31" s="162" t="str">
        <f ca="1">F31</f>
        <v>Allocation according to exergy content (ecoinvent)</v>
      </c>
    </row>
    <row r="32" spans="1:16" outlineLevel="1">
      <c r="B32" s="168" t="s">
        <v>1886</v>
      </c>
      <c r="C32" s="80" t="s">
        <v>781</v>
      </c>
      <c r="D32" s="80" t="s">
        <v>1258</v>
      </c>
      <c r="E32" s="80" t="str">
        <f ca="1"/>
        <v>Feed into a heat network / distribution losses district heating network</v>
      </c>
      <c r="F32" s="210" t="str">
        <f ca="1">E32</f>
        <v>Feed into a heat network / distribution losses district heating network</v>
      </c>
      <c r="G32" s="152" t="s">
        <v>347</v>
      </c>
      <c r="H32" s="152" t="s">
        <v>1190</v>
      </c>
      <c r="I32" s="154"/>
      <c r="K32" s="163"/>
      <c r="L32" s="164" t="str">
        <f>L17</f>
        <v>Pkt</v>
      </c>
      <c r="M32" s="164" t="str">
        <f t="shared" ref="M32:O32" si="9">M17</f>
        <v>kg CO2-eq</v>
      </c>
      <c r="N32" s="164" t="str">
        <f t="shared" si="9"/>
        <v>MJ-eq</v>
      </c>
      <c r="O32" s="397" t="str">
        <f t="shared" si="9"/>
        <v>Pkt</v>
      </c>
    </row>
    <row r="33" spans="1:16" outlineLevel="1">
      <c r="A33" s="80">
        <v>51</v>
      </c>
      <c r="B33" s="80" t="s">
        <v>31</v>
      </c>
      <c r="C33" s="80" t="s">
        <v>480</v>
      </c>
      <c r="D33" s="80" t="s">
        <v>1264</v>
      </c>
      <c r="E33" s="80" t="str">
        <f ca="1"/>
        <v>Limit value, electricity</v>
      </c>
      <c r="F33" s="210" t="str">
        <f t="shared" ref="F33:F43" ca="1" si="10">E33</f>
        <v>Limit value, electricity</v>
      </c>
      <c r="G33" s="155">
        <f>INDEX(Prüfwert!$1:$1048576,8,MATCH($A33,Prüfwert!$1:$1,0))</f>
        <v>0</v>
      </c>
      <c r="H33" s="150">
        <f>G33</f>
        <v>0</v>
      </c>
      <c r="I33" s="165" t="e">
        <f>(1-SUM(I$37:I$42))*H33/SUM(H$33:H$36)</f>
        <v>#DIV/0!</v>
      </c>
      <c r="K33" s="214" t="str">
        <f ca="1">REPLACE(F33,1,TextEPD,"")&amp;", kWh"</f>
        <v>electricity, kWh</v>
      </c>
      <c r="L33" s="398">
        <f t="shared" ref="L33:O34" si="11">IF($G33&gt;0,($I33*L$38+L$12*$H33/SUM($H$33:$H$34))/$G33,0)</f>
        <v>0</v>
      </c>
      <c r="M33" s="398">
        <f t="shared" si="11"/>
        <v>0</v>
      </c>
      <c r="N33" s="398">
        <f t="shared" si="11"/>
        <v>0</v>
      </c>
      <c r="O33" s="399">
        <f t="shared" si="11"/>
        <v>0</v>
      </c>
    </row>
    <row r="34" spans="1:16" outlineLevel="1">
      <c r="A34" s="80">
        <v>52</v>
      </c>
      <c r="B34" s="80" t="s">
        <v>32</v>
      </c>
      <c r="C34" s="80" t="s">
        <v>385</v>
      </c>
      <c r="D34" s="80" t="s">
        <v>1265</v>
      </c>
      <c r="E34" s="80" t="str">
        <f ca="1"/>
        <v>Limit value, heat</v>
      </c>
      <c r="F34" s="210" t="str">
        <f t="shared" ca="1" si="10"/>
        <v>Limit value, heat</v>
      </c>
      <c r="G34" s="155">
        <f>INDEX(Prüfwert!$1:$1048576,8,MATCH($A34,Prüfwert!$1:$1,0))</f>
        <v>0</v>
      </c>
      <c r="H34" s="150">
        <f>0.17*G34</f>
        <v>0</v>
      </c>
      <c r="I34" s="165" t="e">
        <f t="shared" ref="I34:I36" si="12">(1-SUM(I$37:I$42))*H34/SUM(H$33:H$36)</f>
        <v>#DIV/0!</v>
      </c>
      <c r="K34" s="214" t="str">
        <f ca="1">REPLACE(F34,1,TextEPD,"")&amp;", kWh"</f>
        <v>heat, kWh</v>
      </c>
      <c r="L34" s="398">
        <f t="shared" si="11"/>
        <v>0</v>
      </c>
      <c r="M34" s="398">
        <f t="shared" si="11"/>
        <v>0</v>
      </c>
      <c r="N34" s="398">
        <f t="shared" si="11"/>
        <v>0</v>
      </c>
      <c r="O34" s="399">
        <f t="shared" si="11"/>
        <v>0</v>
      </c>
    </row>
    <row r="35" spans="1:16" outlineLevel="1">
      <c r="A35" s="80">
        <v>53</v>
      </c>
      <c r="B35" s="80" t="s">
        <v>1192</v>
      </c>
      <c r="C35" s="80" t="s">
        <v>1193</v>
      </c>
      <c r="D35" s="80" t="s">
        <v>1266</v>
      </c>
      <c r="E35" s="80" t="str">
        <f ca="1"/>
        <v>Limit value, biomethane</v>
      </c>
      <c r="F35" s="210" t="str">
        <f t="shared" ca="1" si="10"/>
        <v>Limit value, biomethane</v>
      </c>
      <c r="G35" s="155">
        <f>INDEX(Prüfwert!$1:$1048576,8,MATCH($A35,Prüfwert!$1:$1,0))</f>
        <v>0</v>
      </c>
      <c r="H35" s="150">
        <f>G35</f>
        <v>0</v>
      </c>
      <c r="I35" s="165" t="e">
        <f t="shared" si="12"/>
        <v>#DIV/0!</v>
      </c>
      <c r="K35" s="576" t="str">
        <f ca="1">REPLACE(F35,1,TextEPD,"")&amp;", kWh"</f>
        <v>biomethane, kWh</v>
      </c>
      <c r="L35" s="396">
        <f>IF($G35&gt;0,($I35/SUM($I$35:$I$36)*(L$14-SUM(L$39:L$40,L$10:L$11))+L10)/$G35,0)</f>
        <v>0</v>
      </c>
      <c r="M35" s="396">
        <f t="shared" ref="M35:O35" si="13">IF($G35&gt;0,($I35/SUM($I$35:$I$36)*(M$14-SUM(M$39:M$40,M$10:M$11))+M10)/$G35,0)</f>
        <v>0</v>
      </c>
      <c r="N35" s="396">
        <f t="shared" si="13"/>
        <v>0</v>
      </c>
      <c r="O35" s="400">
        <f t="shared" si="13"/>
        <v>0</v>
      </c>
    </row>
    <row r="36" spans="1:16" outlineLevel="1">
      <c r="A36" s="80">
        <v>117</v>
      </c>
      <c r="B36" s="80" t="s">
        <v>1191</v>
      </c>
      <c r="C36" s="80" t="s">
        <v>1186</v>
      </c>
      <c r="D36" s="80" t="s">
        <v>1607</v>
      </c>
      <c r="E36" s="80" t="str">
        <f ca="1"/>
        <v>Limit value, biogas</v>
      </c>
      <c r="F36" s="210" t="str">
        <f t="shared" ca="1" si="10"/>
        <v>Limit value, biogas</v>
      </c>
      <c r="G36" s="155">
        <f>INDEX(Prüfwert!$1:$1048576,8,MATCH($A36,Prüfwert!$1:$1,0))</f>
        <v>0</v>
      </c>
      <c r="H36" s="150">
        <f>G36</f>
        <v>0</v>
      </c>
      <c r="I36" s="165" t="e">
        <f t="shared" si="12"/>
        <v>#DIV/0!</v>
      </c>
      <c r="K36" s="577" t="str">
        <f ca="1">REPLACE(F36,1,TextEPD,"")&amp;", kWh"</f>
        <v>biogas, kWh</v>
      </c>
      <c r="L36" s="167">
        <f>IF($G36&gt;0,($I36/SUM($I$35:$I$36)*(L$14-SUM(L$39:L$40,L$10:L$11))+L11)/$G36,0)</f>
        <v>0</v>
      </c>
      <c r="M36" s="167">
        <f t="shared" ref="M36:O36" si="14">IF($G36&gt;0,($I36/SUM($I$35:$I$36)*(M$14-SUM(M$39:M$40,M$10:M$11))+M11)/$G36,0)</f>
        <v>0</v>
      </c>
      <c r="N36" s="167">
        <f t="shared" si="14"/>
        <v>0</v>
      </c>
      <c r="O36" s="401">
        <f t="shared" si="14"/>
        <v>0</v>
      </c>
    </row>
    <row r="37" spans="1:16" outlineLevel="1">
      <c r="A37" s="80">
        <v>54</v>
      </c>
      <c r="B37" s="80" t="s">
        <v>711</v>
      </c>
      <c r="C37" s="80" t="s">
        <v>487</v>
      </c>
      <c r="D37" s="80" t="s">
        <v>1267</v>
      </c>
      <c r="E37" s="80" t="str">
        <f ca="1"/>
        <v>Reference, disposal</v>
      </c>
      <c r="F37" s="210" t="str">
        <f t="shared" ca="1" si="10"/>
        <v>Reference, disposal</v>
      </c>
      <c r="G37" s="367">
        <f>Substrates!F135</f>
        <v>0</v>
      </c>
      <c r="H37" s="156"/>
      <c r="I37" s="157">
        <f t="shared" ref="I37:I42" si="15">IF(G43&gt;0,G37/G$43*H$44,0)</f>
        <v>0</v>
      </c>
      <c r="M37" s="110"/>
      <c r="N37" s="110"/>
      <c r="O37" s="110"/>
      <c r="P37" s="110"/>
    </row>
    <row r="38" spans="1:16" outlineLevel="1">
      <c r="A38" s="80">
        <v>88</v>
      </c>
      <c r="B38" s="80" t="s">
        <v>713</v>
      </c>
      <c r="C38" s="80" t="s">
        <v>488</v>
      </c>
      <c r="D38" s="80" t="s">
        <v>1600</v>
      </c>
      <c r="E38" s="80" t="str">
        <f ca="1"/>
        <v>Reference, liquid manure storage</v>
      </c>
      <c r="F38" s="210" t="str">
        <f t="shared" ca="1" si="10"/>
        <v>Reference, liquid manure storage</v>
      </c>
      <c r="G38" s="158"/>
      <c r="H38" s="156"/>
      <c r="I38" s="157">
        <f t="shared" si="15"/>
        <v>0</v>
      </c>
      <c r="K38" s="168" t="s">
        <v>35</v>
      </c>
      <c r="L38" s="16" t="e">
        <f ca="1">L14-SUM(L10:L12)</f>
        <v>#N/A</v>
      </c>
      <c r="M38" s="16" t="e">
        <f t="shared" ref="M38:O38" ca="1" si="16">M14-SUM(M10:M12)</f>
        <v>#N/A</v>
      </c>
      <c r="N38" s="16" t="e">
        <f t="shared" ca="1" si="16"/>
        <v>#N/A</v>
      </c>
      <c r="O38" s="16" t="e">
        <f t="shared" ca="1" si="16"/>
        <v>#N/A</v>
      </c>
      <c r="P38" s="110" t="s">
        <v>1184</v>
      </c>
    </row>
    <row r="39" spans="1:16" outlineLevel="1">
      <c r="A39" s="80">
        <v>89</v>
      </c>
      <c r="B39" s="80" t="s">
        <v>714</v>
      </c>
      <c r="C39" s="80" t="s">
        <v>412</v>
      </c>
      <c r="D39" s="80" t="s">
        <v>1234</v>
      </c>
      <c r="E39" s="80" t="str">
        <f ca="1"/>
        <v>Reference, compost</v>
      </c>
      <c r="F39" s="210" t="str">
        <f t="shared" ca="1" si="10"/>
        <v>Reference, compost</v>
      </c>
      <c r="G39" s="367">
        <f>Preis_Entsorgung_fest</f>
        <v>0</v>
      </c>
      <c r="H39" s="156"/>
      <c r="I39" s="157">
        <f t="shared" si="15"/>
        <v>0</v>
      </c>
      <c r="K39" s="168" t="s">
        <v>569</v>
      </c>
      <c r="L39" s="166">
        <f t="shared" ref="L39:O42" si="17">$G33*L33</f>
        <v>0</v>
      </c>
      <c r="M39" s="166">
        <f t="shared" si="17"/>
        <v>0</v>
      </c>
      <c r="N39" s="166">
        <f t="shared" si="17"/>
        <v>0</v>
      </c>
      <c r="O39" s="166">
        <f t="shared" si="17"/>
        <v>0</v>
      </c>
      <c r="P39" s="110"/>
    </row>
    <row r="40" spans="1:16" outlineLevel="1">
      <c r="A40" s="80">
        <v>90</v>
      </c>
      <c r="B40" s="80" t="s">
        <v>715</v>
      </c>
      <c r="C40" s="80" t="s">
        <v>489</v>
      </c>
      <c r="D40" s="80" t="s">
        <v>1601</v>
      </c>
      <c r="E40" s="80" t="str">
        <f ca="1"/>
        <v>Reference, fresh sewage sludge</v>
      </c>
      <c r="F40" s="210" t="str">
        <f t="shared" ca="1" si="10"/>
        <v>Reference, fresh sewage sludge</v>
      </c>
      <c r="G40" s="158"/>
      <c r="H40" s="156"/>
      <c r="I40" s="157">
        <f t="shared" si="15"/>
        <v>0</v>
      </c>
      <c r="L40" s="166">
        <f t="shared" si="17"/>
        <v>0</v>
      </c>
      <c r="M40" s="166">
        <f t="shared" si="17"/>
        <v>0</v>
      </c>
      <c r="N40" s="166">
        <f t="shared" si="17"/>
        <v>0</v>
      </c>
      <c r="O40" s="166">
        <f t="shared" si="17"/>
        <v>0</v>
      </c>
    </row>
    <row r="41" spans="1:16" outlineLevel="1">
      <c r="A41" s="80">
        <v>101</v>
      </c>
      <c r="B41" s="80" t="s">
        <v>360</v>
      </c>
      <c r="C41" s="80" t="s">
        <v>491</v>
      </c>
      <c r="D41" s="80" t="s">
        <v>1238</v>
      </c>
      <c r="E41" s="80" t="str">
        <f ca="1"/>
        <v>Reference, fuel, cement plant</v>
      </c>
      <c r="F41" s="210" t="str">
        <f t="shared" ca="1" si="10"/>
        <v>Reference, fuel, cement plant</v>
      </c>
      <c r="G41" s="158"/>
      <c r="H41" s="156"/>
      <c r="I41" s="157">
        <f t="shared" si="15"/>
        <v>0</v>
      </c>
      <c r="L41" s="166">
        <f t="shared" si="17"/>
        <v>0</v>
      </c>
      <c r="M41" s="166">
        <f t="shared" si="17"/>
        <v>0</v>
      </c>
      <c r="N41" s="166">
        <f t="shared" si="17"/>
        <v>0</v>
      </c>
      <c r="O41" s="166">
        <f t="shared" si="17"/>
        <v>0</v>
      </c>
    </row>
    <row r="42" spans="1:16" outlineLevel="1">
      <c r="A42" s="80">
        <v>63</v>
      </c>
      <c r="B42" s="80" t="s">
        <v>712</v>
      </c>
      <c r="C42" s="80" t="s">
        <v>486</v>
      </c>
      <c r="D42" s="80" t="s">
        <v>1220</v>
      </c>
      <c r="E42" s="80" t="str">
        <f ca="1"/>
        <v>Reference, direct emissions</v>
      </c>
      <c r="F42" s="210" t="str">
        <f t="shared" ca="1" si="10"/>
        <v>Reference, direct emissions</v>
      </c>
      <c r="G42" s="158"/>
      <c r="H42" s="156"/>
      <c r="I42" s="157">
        <f t="shared" si="15"/>
        <v>0</v>
      </c>
      <c r="L42" s="166">
        <f t="shared" si="17"/>
        <v>0</v>
      </c>
      <c r="M42" s="166">
        <f t="shared" si="17"/>
        <v>0</v>
      </c>
      <c r="N42" s="166">
        <f t="shared" si="17"/>
        <v>0</v>
      </c>
      <c r="O42" s="166">
        <f t="shared" si="17"/>
        <v>0</v>
      </c>
    </row>
    <row r="43" spans="1:16" outlineLevel="1">
      <c r="A43" s="80">
        <v>17</v>
      </c>
      <c r="B43" s="80" t="s">
        <v>35</v>
      </c>
      <c r="C43" s="80" t="s">
        <v>35</v>
      </c>
      <c r="D43" s="80" t="s">
        <v>35</v>
      </c>
      <c r="E43" s="80" t="str">
        <f ca="1"/>
        <v>Total</v>
      </c>
      <c r="F43" s="151" t="str">
        <f t="shared" ca="1" si="10"/>
        <v>Total</v>
      </c>
      <c r="G43" s="367">
        <f>SUM(G37:G42)</f>
        <v>0</v>
      </c>
      <c r="H43" s="156"/>
      <c r="I43" s="154" t="e">
        <f>H44/H$29</f>
        <v>#N/A</v>
      </c>
      <c r="K43" s="168" t="s">
        <v>1189</v>
      </c>
      <c r="L43" s="166">
        <f>SUM(L39:L42)</f>
        <v>0</v>
      </c>
      <c r="M43" s="166">
        <f>SUM(M39:M42)</f>
        <v>0</v>
      </c>
      <c r="N43" s="166">
        <f t="shared" ref="N43:O43" si="18">SUM(N39:N42)</f>
        <v>0</v>
      </c>
      <c r="O43" s="166">
        <f t="shared" si="18"/>
        <v>0</v>
      </c>
      <c r="P43" s="93"/>
    </row>
    <row r="44" spans="1:16">
      <c r="B44" s="168" t="s">
        <v>2223</v>
      </c>
      <c r="C44" s="168" t="s">
        <v>2225</v>
      </c>
      <c r="D44" s="168" t="s">
        <v>2224</v>
      </c>
      <c r="E44" s="80" t="str">
        <f ca="1"/>
        <v>Please enter here the value for the share of by-products in the total yield.</v>
      </c>
      <c r="F44" s="156" t="str">
        <f ca="1">E44</f>
        <v>Please enter here the value for the share of by-products in the total yield.</v>
      </c>
      <c r="G44" s="158"/>
      <c r="H44" s="800">
        <v>0</v>
      </c>
      <c r="I44" s="158"/>
    </row>
    <row r="45" spans="1:16">
      <c r="E45" s="80">
        <f ca="1"/>
        <v>0</v>
      </c>
    </row>
    <row r="46" spans="1:16">
      <c r="E46" s="80">
        <f ca="1"/>
        <v>0</v>
      </c>
      <c r="F46" s="168"/>
    </row>
    <row r="47" spans="1:16">
      <c r="E47" s="80">
        <f ca="1"/>
        <v>0</v>
      </c>
    </row>
    <row r="48" spans="1:16">
      <c r="E48" s="80">
        <f ca="1"/>
        <v>0</v>
      </c>
    </row>
    <row r="49" spans="5:5">
      <c r="E49" s="80">
        <f ca="1"/>
        <v>0</v>
      </c>
    </row>
    <row r="50" spans="5:5">
      <c r="E50" s="80">
        <f ca="1"/>
        <v>0</v>
      </c>
    </row>
    <row r="51" spans="5:5">
      <c r="E51" s="80">
        <f ca="1"/>
        <v>0</v>
      </c>
    </row>
    <row r="52" spans="5:5">
      <c r="E52" s="80">
        <f ca="1"/>
        <v>0</v>
      </c>
    </row>
    <row r="53" spans="5:5">
      <c r="E53" s="80">
        <f ca="1"/>
        <v>0</v>
      </c>
    </row>
    <row r="54" spans="5:5">
      <c r="E54" s="80">
        <f ca="1"/>
        <v>0</v>
      </c>
    </row>
    <row r="55" spans="5:5">
      <c r="E55" s="80">
        <f ca="1"/>
        <v>0</v>
      </c>
    </row>
    <row r="56" spans="5:5">
      <c r="E56" s="80">
        <f ca="1"/>
        <v>0</v>
      </c>
    </row>
  </sheetData>
  <sheetProtection algorithmName="SHA-512" hashValue="9ZEJv0F3FD0EQ96Ykm1eRbv5G7+UsToDuvNqYSF7p7GSr0vuXdbSg3cK+1Y6U02m3vwdwPOM8Dkq0MToPyk1Cw==" saltValue="r350h3/+NJ+t9Ig7/ceG4A==" spinCount="100000" sheet="1" objects="1" scenarios="1"/>
  <phoneticPr fontId="0" type="noConversion"/>
  <conditionalFormatting sqref="G37">
    <cfRule type="expression" dxfId="21" priority="13">
      <formula>Standort=4</formula>
    </cfRule>
    <cfRule type="expression" dxfId="20" priority="14">
      <formula>Standort=3</formula>
    </cfRule>
    <cfRule type="expression" dxfId="19" priority="15">
      <formula>Standort=2</formula>
    </cfRule>
    <cfRule type="expression" dxfId="18" priority="16">
      <formula>Standort=1</formula>
    </cfRule>
  </conditionalFormatting>
  <conditionalFormatting sqref="G43">
    <cfRule type="expression" dxfId="17" priority="9">
      <formula>Standort=4</formula>
    </cfRule>
    <cfRule type="expression" dxfId="16" priority="10">
      <formula>Standort=3</formula>
    </cfRule>
    <cfRule type="expression" dxfId="15" priority="11">
      <formula>Standort=2</formula>
    </cfRule>
    <cfRule type="expression" dxfId="14" priority="12">
      <formula>Standort=1</formula>
    </cfRule>
  </conditionalFormatting>
  <conditionalFormatting sqref="G39">
    <cfRule type="expression" dxfId="13" priority="5">
      <formula>Standort=4</formula>
    </cfRule>
    <cfRule type="expression" dxfId="12" priority="6">
      <formula>Standort=3</formula>
    </cfRule>
    <cfRule type="expression" dxfId="11" priority="7">
      <formula>Standort=2</formula>
    </cfRule>
    <cfRule type="expression" dxfId="10" priority="8">
      <formula>Standort=1</formula>
    </cfRule>
  </conditionalFormatting>
  <conditionalFormatting sqref="G22">
    <cfRule type="expression" dxfId="9" priority="1">
      <formula>Standort=4</formula>
    </cfRule>
    <cfRule type="expression" dxfId="8" priority="2">
      <formula>Standort=3</formula>
    </cfRule>
    <cfRule type="expression" dxfId="7" priority="3">
      <formula>Standort=2</formula>
    </cfRule>
    <cfRule type="expression" dxfId="6" priority="4">
      <formula>Standort=1</formula>
    </cfRule>
  </conditionalFormatting>
  <printOptions horizontalCentered="1" verticalCentered="1"/>
  <pageMargins left="0.78740157480314965" right="0.78740157480314965" top="0.98425196850393704" bottom="0.98425196850393704" header="0.51181102362204722" footer="0.51181102362204722"/>
  <pageSetup paperSize="9" scale="66" orientation="landscape" r:id="rId1"/>
  <headerFooter alignWithMargins="0">
    <oddHeader xml:space="preserve">&amp;LEnvironmental product declaration (EPD)&amp;C&amp;D&amp;Rnaturemade star energy products
</oddHeader>
    <oddFooter>&amp;L(c) ESU-services GmbH&amp;Cwww.esu-services.ch&amp;R&amp;F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CA0C2-A1E0-4047-B4AD-63586931BE68}">
  <dimension ref="A1:DW538"/>
  <sheetViews>
    <sheetView topLeftCell="C1" workbookViewId="0">
      <selection activeCell="M117" sqref="A117:XFD117"/>
    </sheetView>
  </sheetViews>
  <sheetFormatPr baseColWidth="10" defaultRowHeight="12.75" outlineLevelRow="1"/>
  <cols>
    <col min="5" max="40" width="11.140625" bestFit="1" customWidth="1"/>
    <col min="41" max="42" width="12.140625" bestFit="1" customWidth="1"/>
    <col min="43" max="43" width="11.140625" bestFit="1" customWidth="1"/>
    <col min="44" max="44" width="12.140625" bestFit="1" customWidth="1"/>
    <col min="45" max="106" width="11.140625" bestFit="1" customWidth="1"/>
  </cols>
  <sheetData>
    <row r="1" spans="1:127" ht="127.5">
      <c r="C1">
        <f>$B$2+10</f>
        <v>117</v>
      </c>
      <c r="E1" s="3" t="str" cm="1">
        <f t="array" ref="E1">INDEX($1:$1048576,$C1,COLUMN())</f>
        <v>anaerobic digestion plant covered, agriculture/CH/I U</v>
      </c>
      <c r="F1" s="3" t="str" cm="1">
        <f t="array" ref="F1">INDEX($1:$1048576,$C1,COLUMN())</f>
        <v>Anaerobic digestion plant, sewage sludge/CH/I U</v>
      </c>
      <c r="G1" s="3" t="str" cm="1">
        <f t="array" ref="G1">INDEX($1:$1048576,$C1,COLUMN())</f>
        <v>anaerobic digestion plant, biowaste/CH/I U</v>
      </c>
      <c r="H1" s="3" t="str" cm="1">
        <f t="array" ref="H1">INDEX($1:$1048576,$C1,COLUMN())</f>
        <v>tap water, unspecified natural origin RER, at user/kg/RER U</v>
      </c>
      <c r="I1" s="3" t="str" cm="1">
        <f t="array" ref="I1">INDEX($1:$1048576,$C1,COLUMN())</f>
        <v>Electricity, medium voltage {CH}| market for | Cut-off, S</v>
      </c>
      <c r="J1" s="3" t="str" cm="1">
        <f t="array" ref="J1">INDEX($1:$1048576,$C1,COLUMN())</f>
        <v>Electricity, medium voltage {DE}| market for | Cut-off, S</v>
      </c>
      <c r="K1" s="3" t="str" cm="1">
        <f t="array" ref="K1">INDEX($1:$1048576,$C1,COLUMN())</f>
        <v>Electricity, medium voltage {HU}| market for | Cut-off, S</v>
      </c>
      <c r="L1" s="3" t="str" cm="1">
        <f t="array" ref="L1">INDEX($1:$1048576,$C1,COLUMN())</f>
        <v>Electricity, medium voltage {DK}| market for | Cut-off, S</v>
      </c>
      <c r="M1" s="3" t="str" cm="1">
        <f t="array" ref="M1">INDEX($1:$1048576,$C1,COLUMN())</f>
        <v>Electricity, medium voltage {GB}| market for | Cut-off, S</v>
      </c>
      <c r="N1" s="3" t="str" cm="1">
        <f t="array" ref="N1">INDEX($1:$1048576,$C1,COLUMN())</f>
        <v>Electricity, medium voltage {ES}| market for | Cut-off, S</v>
      </c>
      <c r="O1" s="3" t="str" cm="1">
        <f t="array" ref="O1">INDEX($1:$1048576,$C1,COLUMN())</f>
        <v>electricity, medium voltage, naturemade star, at grid/CH U</v>
      </c>
      <c r="P1" s="3" t="str" cm="1">
        <f t="array" ref="P1">INDEX($1:$1048576,$C1,COLUMN())</f>
        <v>electricity, medium voltage, renewable, at grid/kWh/RER U</v>
      </c>
      <c r="Q1" s="3" t="str" cm="1">
        <f t="array" ref="Q1">INDEX($1:$1048576,$C1,COLUMN())</f>
        <v>light fuel oil, burned in industrial furnace 1MW, non-modulating/MJ/RER U</v>
      </c>
      <c r="R1" s="3" t="str" cm="1">
        <f t="array" ref="R1">INDEX($1:$1048576,$C1,COLUMN())</f>
        <v>oil combustion, in cogen with ignition gas engine/MJ/CH U</v>
      </c>
      <c r="S1" s="3" t="str" cm="1">
        <f t="array" ref="S1">INDEX($1:$1048576,$C1,COLUMN())</f>
        <v>diesel, burned in building machine, average/MJ/CH U</v>
      </c>
      <c r="T1" s="3" t="str" cm="1">
        <f t="array" ref="T1">INDEX($1:$1048576,$C1,COLUMN())</f>
        <v>Natural gas, burned in boiler condensing modulating &gt;100kW/RER U</v>
      </c>
      <c r="U1" s="3" t="str" cm="1">
        <f t="array" ref="U1">INDEX($1:$1048576,$C1,COLUMN())</f>
        <v>biomethane, burned in boiler condensing modulating &gt;100kW/RER U</v>
      </c>
      <c r="V1" s="3" t="str" cm="1">
        <f t="array" ref="V1">INDEX($1:$1048576,$C1,COLUMN())</f>
        <v>biomethane, naturemade star, burned in boiler condensing modulating &gt;100kW/RER U</v>
      </c>
      <c r="W1" s="3" t="str" cm="1">
        <f t="array" ref="W1">INDEX($1:$1048576,$C1,COLUMN())</f>
        <v>Heat from waste, at municipal waste incineration plant/CH U</v>
      </c>
      <c r="X1" s="3" t="str" cm="1">
        <f t="array" ref="X1">INDEX($1:$1048576,$C1,COLUMN())</f>
        <v>Heat, digester sludge, at incineration plant, future, allocation price/CH U</v>
      </c>
      <c r="Y1" s="3" t="str" cm="1">
        <f t="array" ref="Y1">INDEX($1:$1048576,$C1,COLUMN())</f>
        <v>Wood chips, from forest, mixed, burned in furnace 1000kW/CH U</v>
      </c>
      <c r="Z1" s="3" t="str" cm="1">
        <f t="array" ref="Z1">INDEX($1:$1048576,$C1,COLUMN())</f>
        <v>Pellets, mixed, burned in furnace 50kW/CH U</v>
      </c>
      <c r="AA1" s="3" t="str" cm="1">
        <f t="array" ref="AA1">INDEX($1:$1048576,$C1,COLUMN())</f>
        <v>transport, district heat network, average/CH/I U</v>
      </c>
      <c r="AB1" s="3" t="str" cm="1">
        <f t="array" ref="AB1">INDEX($1:$1048576,$C1,COLUMN())</f>
        <v>transport, freight, lorry 16-32 metric ton, fleet average/RER U</v>
      </c>
      <c r="AC1" s="3" t="str" cm="1">
        <f t="array" ref="AC1">INDEX($1:$1048576,$C1,COLUMN())</f>
        <v>Transport, tractor and trailer/CH U</v>
      </c>
      <c r="AD1" s="3" t="str" cm="1">
        <f t="array" ref="AD1">INDEX($1:$1048576,$C1,COLUMN())</f>
        <v>biogas, vented/CH U</v>
      </c>
      <c r="AE1" s="3" t="str" cm="1">
        <f t="array" ref="AE1">INDEX($1:$1048576,$C1,COLUMN())</f>
        <v>methane, 96 vol-%, purification and distribution/kWh/CH U</v>
      </c>
      <c r="AF1" s="3" t="str" cm="1">
        <f t="array" ref="AF1">INDEX($1:$1048576,$C1,COLUMN())</f>
        <v>raw biogas, distribution/kWh/CH U</v>
      </c>
      <c r="AG1" s="3" t="str" cm="1">
        <f t="array" ref="AG1">INDEX($1:$1048576,$C1,COLUMN())</f>
        <v>biogas, burned in production flare/MJ/GLO U</v>
      </c>
      <c r="AH1" s="3" t="str" cm="1">
        <f t="array" ref="AH1">INDEX($1:$1048576,$C1,COLUMN())</f>
        <v>biogas combustion, in cogen with biogas engine/MJ/CH U</v>
      </c>
      <c r="AI1" s="3" t="str" cm="1">
        <f t="array" ref="AI1">INDEX($1:$1048576,$C1,COLUMN())</f>
        <v>biogas combustion, in cogen with ignition gas engine/MJ/CH U</v>
      </c>
      <c r="AJ1" s="3" t="str" cm="1">
        <f t="array" ref="AJ1">INDEX($1:$1048576,$C1,COLUMN())</f>
        <v>biogas combustion, in cogen 200kWe lean burn/MJ/CH U</v>
      </c>
      <c r="AK1" s="3" t="str" cm="1">
        <f t="array" ref="AK1">INDEX($1:$1048576,$C1,COLUMN())</f>
        <v>biogas combustion, in micro gas turbine 100kWe/MJ/CH U</v>
      </c>
      <c r="AL1" s="3" t="str" cm="1">
        <f t="array" ref="AL1">INDEX($1:$1048576,$C1,COLUMN())</f>
        <v>biogas, burned in industrial furnace &gt;100kW/RER U</v>
      </c>
      <c r="AM1" s="3" t="str" cm="1">
        <f t="array" ref="AM1">INDEX($1:$1048576,$C1,COLUMN())</f>
        <v>emission, NOx/kg/CH U</v>
      </c>
      <c r="AN1" s="3" t="str" cm="1">
        <f t="array" ref="AN1">INDEX($1:$1048576,$C1,COLUMN())</f>
        <v>transport, district heat network, average/CH/I U</v>
      </c>
      <c r="AO1" s="3" t="str" cm="1">
        <f t="array" ref="AO1">INDEX($1:$1048576,$C1,COLUMN())</f>
        <v>application, digested matter, on agricultural land/kg/CH U</v>
      </c>
      <c r="AP1" s="3" t="str" cm="1">
        <f t="array" ref="AP1">INDEX($1:$1048576,$C1,COLUMN())</f>
        <v>application, digested matter, liquid, on agricultural land/m3/CH U</v>
      </c>
      <c r="AQ1" s="3" t="str" cm="1">
        <f t="array" ref="AQ1">INDEX($1:$1048576,$C1,COLUMN())</f>
        <v>disposal, digester sludge, to municipal incineration/kg/CH U</v>
      </c>
      <c r="AR1" s="3" t="str" cm="1">
        <f t="array" ref="AR1">INDEX($1:$1048576,$C1,COLUMN())</f>
        <v>digester sewage sludge, in cement plant/kg/CH U</v>
      </c>
      <c r="AS1" s="3" t="str" cm="1">
        <f t="array" ref="AS1">INDEX($1:$1048576,$C1,COLUMN())</f>
        <v>Treatment, sewage, to wastewater treatment, class 4/CH U</v>
      </c>
      <c r="AT1" s="3" t="str" cm="1">
        <f t="array" ref="AT1">INDEX($1:$1048576,$C1,COLUMN())</f>
        <v>treatment, sugar factory effluent, to wastewater treatment, class 4/HU U</v>
      </c>
      <c r="AU1" s="3" t="str" cm="1">
        <f t="array" ref="AU1">INDEX($1:$1048576,$C1,COLUMN())</f>
        <v>treatment, paper production, pre-treated by digestion, to wastewater treatment, class 3/m3/CH U</v>
      </c>
      <c r="AV1" s="3" t="str" cm="1">
        <f t="array" ref="AV1">INDEX($1:$1048576,$C1,COLUMN())</f>
        <v>apple ÖLN, at farm/kg/CH S</v>
      </c>
      <c r="AW1" s="3" t="str" cm="1">
        <f t="array" ref="AW1">INDEX($1:$1048576,$C1,COLUMN())</f>
        <v>bread, at bakery/kg/CH S</v>
      </c>
      <c r="AX1" s="3" t="str" cm="1">
        <f t="array" ref="AX1">INDEX($1:$1048576,$C1,COLUMN())</f>
        <v>meat mixed, IP, at slaughterhouse/kg/CH S</v>
      </c>
      <c r="AY1" s="3" t="str" cm="1">
        <f t="array" ref="AY1">INDEX($1:$1048576,$C1,COLUMN())</f>
        <v>vegetables mean, IP, at farm/kg/CH S</v>
      </c>
      <c r="AZ1" s="3" t="str" cm="1">
        <f t="array" ref="AZ1">INDEX($1:$1048576,$C1,COLUMN())</f>
        <v>by-products, wheat milling, at plant/kg/CH S</v>
      </c>
      <c r="BA1" s="3" t="str" cm="1">
        <f t="array" ref="BA1">INDEX($1:$1048576,$C1,COLUMN())</f>
        <v>yeast, at plant/kg/RER S</v>
      </c>
      <c r="BB1" s="3" t="str" cm="1">
        <f t="array" ref="BB1">INDEX($1:$1048576,$C1,COLUMN())</f>
        <v>raw milk, silo zone, at farm/kg/CH S</v>
      </c>
      <c r="BC1" s="3" t="str" cm="1">
        <f t="array" ref="BC1">INDEX($1:$1048576,$C1,COLUMN())</f>
        <v>whey, at cheese dairy/kg/CH S</v>
      </c>
      <c r="BD1" s="3" t="str" cm="1">
        <f t="array" ref="BD1">INDEX($1:$1048576,$C1,COLUMN())</f>
        <v>Soybean lecithin, at oil mill/GLO U</v>
      </c>
      <c r="BE1" s="3" t="str" cm="1">
        <f t="array" ref="BE1">INDEX($1:$1048576,$C1,COLUMN())</f>
        <v>Rape oil, at oil mill/RER U</v>
      </c>
      <c r="BF1" s="3" t="str" cm="1">
        <f t="array" ref="BF1">INDEX($1:$1048576,$C1,COLUMN())</f>
        <v>wheat straw IP, at farm/kg/CH U</v>
      </c>
      <c r="BG1" s="3" t="str" cm="1">
        <f t="array" ref="BG1">INDEX($1:$1048576,$C1,COLUMN())</f>
        <v>Syrup, from sugar beet molasses, at distillery/CH U</v>
      </c>
      <c r="BH1" s="3" t="str" cm="1">
        <f t="array" ref="BH1">INDEX($1:$1048576,$C1,COLUMN())</f>
        <v>grass silage IP, at farm/kg/CH U</v>
      </c>
      <c r="BI1" s="3" t="str" cm="1">
        <f t="array" ref="BI1">INDEX($1:$1048576,$C1,COLUMN())</f>
        <v>grass silage organic, at farm/kg/CH U</v>
      </c>
      <c r="BJ1" s="3" t="str" cm="1">
        <f t="array" ref="BJ1">INDEX($1:$1048576,$C1,COLUMN())</f>
        <v>Hay intensive IP, at farm/CH U</v>
      </c>
      <c r="BK1" s="3" t="str" cm="1">
        <f t="array" ref="BK1">INDEX($1:$1048576,$C1,COLUMN())</f>
        <v>Potatoes IP, at farm/CH U</v>
      </c>
      <c r="BL1" s="3" t="str" cm="1">
        <f t="array" ref="BL1">INDEX($1:$1048576,$C1,COLUMN())</f>
        <v>Clover seed IP, at farm/CH U</v>
      </c>
      <c r="BM1" s="3" t="str" cm="1">
        <f t="array" ref="BM1">INDEX($1:$1048576,$C1,COLUMN())</f>
        <v>silage maize IP, at farm/kg/CH U</v>
      </c>
      <c r="BN1" s="3" t="str" cm="1">
        <f t="array" ref="BN1">INDEX($1:$1048576,$C1,COLUMN())</f>
        <v>Molasses, from sugar beet, at sugar refinery/CH U</v>
      </c>
      <c r="BO1" s="3" t="str" cm="1">
        <f t="array" ref="BO1">INDEX($1:$1048576,$C1,COLUMN())</f>
        <v>Rape meal, at oil mill/RER U</v>
      </c>
      <c r="BP1" s="3" t="str" cm="1">
        <f t="array" ref="BP1">INDEX($1:$1048576,$C1,COLUMN())</f>
        <v>rye grains IP, at farm/kg/CH U</v>
      </c>
      <c r="BQ1" s="3" t="str" cm="1">
        <f t="array" ref="BQ1">INDEX($1:$1048576,$C1,COLUMN())</f>
        <v>sugar beets IP, at farm/kg/CH U</v>
      </c>
      <c r="BR1" s="3" t="str" cm="1">
        <f t="array" ref="BR1">INDEX($1:$1048576,$C1,COLUMN())</f>
        <v>green rye conventional, at farm/kg/RER U</v>
      </c>
      <c r="BS1" s="3" t="str" cm="1">
        <f t="array" ref="BS1">INDEX($1:$1048576,$C1,COLUMN())</f>
        <v>grass from meadow intensive IP, at field/kg/CH U</v>
      </c>
      <c r="BT1" s="3" t="str" cm="1">
        <f t="array" ref="BT1">INDEX($1:$1048576,$C1,COLUMN())</f>
        <v>grass from natural meadow intensive IP, at field/kg/CH U</v>
      </c>
      <c r="BU1" s="3" t="str" cm="1">
        <f t="array" ref="BU1">INDEX($1:$1048576,$C1,COLUMN())</f>
        <v>Vegetable oil, from waste cooking oil, at plant/CH U</v>
      </c>
      <c r="BV1" s="3" t="str" cm="1">
        <f t="array" ref="BV1">INDEX($1:$1048576,$C1,COLUMN())</f>
        <v>Vinasse, at fermentation plant/CH U</v>
      </c>
      <c r="BW1" s="3" t="str" cm="1">
        <f t="array" ref="BW1">INDEX($1:$1048576,$C1,COLUMN())</f>
        <v>glycerine, from vegetable oil, at esterification plant/kg/RER U</v>
      </c>
      <c r="BX1" s="3" t="str" cm="1">
        <f t="array" ref="BX1">INDEX($1:$1048576,$C1,COLUMN())</f>
        <v>glycerine, from animal fat, at esterification plant/kg/RER U</v>
      </c>
      <c r="BY1" s="3" t="str" cm="1">
        <f t="array" ref="BY1">INDEX($1:$1048576,$C1,COLUMN())</f>
        <v>glycerine, from vegetable oil, at esterification plant/kg/RER U</v>
      </c>
      <c r="BZ1" s="3" t="str" cm="1">
        <f t="array" ref="BZ1">INDEX($1:$1048576,$C1,COLUMN())</f>
        <v>glycerine, from rape oil, at esterification plant/kg/RER U</v>
      </c>
      <c r="CA1" s="3" t="str" cm="1">
        <f t="array" ref="CA1">INDEX($1:$1048576,$C1,COLUMN())</f>
        <v>glycerine, from soybean oil, at esterification plant/kg/RER U</v>
      </c>
      <c r="CB1" s="3" t="str" cm="1">
        <f t="array" ref="CB1">INDEX($1:$1048576,$C1,COLUMN())</f>
        <v>glycerine, from palm oil, at esterification plant/kg/RER U</v>
      </c>
      <c r="CC1" s="3" t="str" cm="1">
        <f t="array" ref="CC1">INDEX($1:$1048576,$C1,COLUMN())</f>
        <v>Pulps, from sugar beet, at sugar refinery/CH U</v>
      </c>
      <c r="CD1" s="3" t="str" cm="1">
        <f t="array" ref="CD1">INDEX($1:$1048576,$C1,COLUMN())</f>
        <v>Urea, as N, at regional storehouse/RER U</v>
      </c>
      <c r="CE1" s="3" t="str" cm="1">
        <f t="array" ref="CE1">INDEX($1:$1048576,$C1,COLUMN())</f>
        <v>Sodium hydroxide, 50% in H2O, production mix, at plant/RER U</v>
      </c>
      <c r="CF1" s="3" t="str" cm="1">
        <f t="array" ref="CF1">INDEX($1:$1048576,$C1,COLUMN())</f>
        <v>Hydrogen peroxide, 50% in H2O, at plant/RER U</v>
      </c>
      <c r="CG1" s="3" t="str" cm="1">
        <f t="array" ref="CG1">INDEX($1:$1048576,$C1,COLUMN())</f>
        <v>Iron (III) chloride, 40% in H2O, at plant/CH U</v>
      </c>
      <c r="CH1" s="3" t="str" cm="1">
        <f t="array" ref="CH1">INDEX($1:$1048576,$C1,COLUMN())</f>
        <v>threshold value, methane/kWh/CH U</v>
      </c>
      <c r="CI1" s="3" t="str" cm="1">
        <f t="array" ref="CI1">INDEX($1:$1048576,$C1,COLUMN())</f>
        <v>threshold value, heat/kWh/CH U</v>
      </c>
      <c r="CJ1" s="3" t="str" cm="1">
        <f t="array" ref="CJ1">INDEX($1:$1048576,$C1,COLUMN())</f>
        <v>threshold value, electricity/kWh/CH U</v>
      </c>
      <c r="CK1" s="3" t="str" cm="1">
        <f t="array" ref="CK1">INDEX($1:$1048576,$C1,COLUMN())</f>
        <v>threshold value, cooling/kWh/CH U</v>
      </c>
      <c r="CL1" s="3" t="str" cm="1">
        <f t="array" ref="CL1">INDEX($1:$1048576,$C1,COLUMN())</f>
        <v>reference value, manure/kg/CH U</v>
      </c>
      <c r="CM1" s="3" t="str" cm="1">
        <f t="array" ref="CM1">INDEX($1:$1048576,$C1,COLUMN())</f>
        <v>reference value, manure/kg/DE U</v>
      </c>
      <c r="CN1" s="3" t="str" cm="1">
        <f t="array" ref="CN1">INDEX($1:$1048576,$C1,COLUMN())</f>
        <v>reference value, manure/kg/DK U</v>
      </c>
      <c r="CO1" s="3" t="str" cm="1">
        <f t="array" ref="CO1">INDEX($1:$1048576,$C1,COLUMN())</f>
        <v>reference value, manure/kg/GB U</v>
      </c>
      <c r="CP1" s="3" t="str" cm="1">
        <f t="array" ref="CP1">INDEX($1:$1048576,$C1,COLUMN())</f>
        <v>reference value, manure/kg/HU U</v>
      </c>
      <c r="CQ1" s="3" t="str" cm="1">
        <f t="array" ref="CQ1">INDEX($1:$1048576,$C1,COLUMN())</f>
        <v>reference value, manure/kg/ES U</v>
      </c>
      <c r="CR1" s="3" t="str" cm="1">
        <f t="array" ref="CR1">INDEX($1:$1048576,$C1,COLUMN())</f>
        <v>reference value, digested matter, liquid/kg/CH U</v>
      </c>
      <c r="CS1" s="3" t="str" cm="1">
        <f t="array" ref="CS1">INDEX($1:$1048576,$C1,COLUMN())</f>
        <v>reference value, digested matter, solid/kg/CH U</v>
      </c>
      <c r="CT1" s="3" t="str" cm="1">
        <f t="array" ref="CT1">INDEX($1:$1048576,$C1,COLUMN())</f>
        <v>reference value, co-substrate disposal/CHF/CH U</v>
      </c>
      <c r="CU1" s="3" t="str" cm="1">
        <f t="array" ref="CU1">INDEX($1:$1048576,$C1,COLUMN())</f>
        <v>reference value, raw sewage sludge treatment/kg/CH U</v>
      </c>
      <c r="CV1" s="3" t="str" cm="1">
        <f t="array" ref="CV1">INDEX($1:$1048576,$C1,COLUMN())</f>
        <v>reference value, fuel from digester sludge/kg/CH U</v>
      </c>
      <c r="CW1" s="3" t="str" cm="1">
        <f t="array" ref="CW1">INDEX($1:$1048576,$C1,COLUMN())</f>
        <v>reference value, paper production effluent/kg/CH U</v>
      </c>
      <c r="CX1" s="3" cm="1">
        <f t="array" ref="CX1">INDEX($1:$1048576,$C1,COLUMN())</f>
        <v>0</v>
      </c>
      <c r="CY1" s="3" cm="1">
        <f t="array" ref="CY1">INDEX($1:$1048576,$C1,COLUMN())</f>
        <v>0</v>
      </c>
      <c r="CZ1" s="3" cm="1">
        <f t="array" ref="CZ1">INDEX($1:$1048576,$C1,COLUMN())</f>
        <v>0</v>
      </c>
      <c r="DA1" s="3" cm="1">
        <f t="array" ref="DA1">INDEX($1:$1048576,$C1,COLUMN())</f>
        <v>0</v>
      </c>
      <c r="DB1" s="3" cm="1">
        <f t="array" ref="DB1">INDEX($1:$1048576,$C1,COLUMN())</f>
        <v>0</v>
      </c>
      <c r="DC1" s="3"/>
      <c r="DD1" s="3"/>
      <c r="DE1" s="3"/>
      <c r="DF1" s="3"/>
      <c r="DG1" s="3"/>
      <c r="DH1" s="3"/>
      <c r="DI1" s="3"/>
      <c r="DJ1" s="3"/>
      <c r="DK1" s="3"/>
      <c r="DL1" s="3"/>
      <c r="DM1" s="3"/>
      <c r="DN1" s="3"/>
      <c r="DO1" s="3"/>
      <c r="DP1" s="3"/>
      <c r="DQ1" s="3"/>
      <c r="DR1" s="3"/>
      <c r="DS1" s="3"/>
      <c r="DT1" s="3"/>
      <c r="DU1" s="3"/>
      <c r="DV1" s="3"/>
      <c r="DW1" s="3"/>
    </row>
    <row r="2" spans="1:127">
      <c r="A2" t="s">
        <v>919</v>
      </c>
      <c r="B2">
        <f>MATCH(A2,D:D,0)</f>
        <v>107</v>
      </c>
      <c r="C2">
        <f>$B2+11</f>
        <v>118</v>
      </c>
      <c r="D2">
        <f>ROW()</f>
        <v>2</v>
      </c>
      <c r="E2" s="925" cm="1">
        <f t="array" ref="E2">INDEX($1:$1048576,$C2,COLUMN())</f>
        <v>1.1202814999999999</v>
      </c>
      <c r="F2" s="925" cm="1">
        <f t="array" ref="F2">INDEX($1:$1048576,$C2,COLUMN())</f>
        <v>0.22316032999999999</v>
      </c>
      <c r="G2" s="925" cm="1">
        <f t="array" ref="G2">INDEX($1:$1048576,$C2,COLUMN())</f>
        <v>3.8709558999999998</v>
      </c>
      <c r="H2" s="925" cm="1">
        <f t="array" ref="H2">INDEX($1:$1048576,$C2,COLUMN())</f>
        <v>2.6856211000000001E-2</v>
      </c>
      <c r="I2" s="925" cm="1">
        <f t="array" ref="I2">INDEX($1:$1048576,$C2,COLUMN())</f>
        <v>7.7551724000000004E-3</v>
      </c>
      <c r="J2" s="925" cm="1">
        <f t="array" ref="J2">INDEX($1:$1048576,$C2,COLUMN())</f>
        <v>2.179062E-2</v>
      </c>
      <c r="K2" s="925" cm="1">
        <f t="array" ref="K2">INDEX($1:$1048576,$C2,COLUMN())</f>
        <v>3.0534234E-2</v>
      </c>
      <c r="L2" s="925" cm="1">
        <f t="array" ref="L2">INDEX($1:$1048576,$C2,COLUMN())</f>
        <v>1.7094893999999999E-2</v>
      </c>
      <c r="M2" s="925" cm="1">
        <f t="array" ref="M2">INDEX($1:$1048576,$C2,COLUMN())</f>
        <v>2.9890849000000001E-2</v>
      </c>
      <c r="N2" s="925" cm="1">
        <f t="array" ref="N2">INDEX($1:$1048576,$C2,COLUMN())</f>
        <v>2.8508487999999998E-2</v>
      </c>
      <c r="O2" s="925" cm="1">
        <f t="array" ref="O2">INDEX($1:$1048576,$C2,COLUMN())</f>
        <v>1.1786945E-3</v>
      </c>
      <c r="P2" s="925" cm="1">
        <f t="array" ref="P2">INDEX($1:$1048576,$C2,COLUMN())</f>
        <v>2.4904208E-3</v>
      </c>
      <c r="Q2" s="925" cm="1">
        <f t="array" ref="Q2">INDEX($1:$1048576,$C2,COLUMN())</f>
        <v>2.3107165999999998E-2</v>
      </c>
      <c r="R2" s="925" cm="1">
        <f t="array" ref="R2">INDEX($1:$1048576,$C2,COLUMN())</f>
        <v>2.4387327E-2</v>
      </c>
      <c r="S2" s="925" cm="1">
        <f t="array" ref="S2">INDEX($1:$1048576,$C2,COLUMN())</f>
        <v>3.1423139000000003E-2</v>
      </c>
      <c r="T2" s="925" cm="1">
        <f t="array" ref="T2">INDEX($1:$1048576,$C2,COLUMN())</f>
        <v>1.9630523E-2</v>
      </c>
      <c r="U2" s="925" cm="1">
        <f t="array" ref="U2">INDEX($1:$1048576,$C2,COLUMN())</f>
        <v>1.5669450000000001E-2</v>
      </c>
      <c r="V2" s="925" cm="1">
        <f t="array" ref="V2">INDEX($1:$1048576,$C2,COLUMN())</f>
        <v>5.6241117E-3</v>
      </c>
      <c r="W2" s="925" cm="1">
        <f t="array" ref="W2">INDEX($1:$1048576,$C2,COLUMN())</f>
        <v>0</v>
      </c>
      <c r="X2" s="925" cm="1">
        <f t="array" ref="X2">INDEX($1:$1048576,$C2,COLUMN())</f>
        <v>7.6548136999999997E-3</v>
      </c>
      <c r="Y2" s="925" cm="1">
        <f t="array" ref="Y2">INDEX($1:$1048576,$C2,COLUMN())</f>
        <v>1.10153E-2</v>
      </c>
      <c r="Z2" s="925" cm="1">
        <f t="array" ref="Z2">INDEX($1:$1048576,$C2,COLUMN())</f>
        <v>8.1645636000000008E-3</v>
      </c>
      <c r="AA2" s="925" cm="1">
        <f t="array" ref="AA2">INDEX($1:$1048576,$C2,COLUMN())</f>
        <v>1.8041395999999999E-4</v>
      </c>
      <c r="AB2" s="925" cm="1">
        <f t="array" ref="AB2">INDEX($1:$1048576,$C2,COLUMN())</f>
        <v>1.9633494000000001E-2</v>
      </c>
      <c r="AC2" s="925" cm="1">
        <f t="array" ref="AC2">INDEX($1:$1048576,$C2,COLUMN())</f>
        <v>3.8704224000000002E-2</v>
      </c>
      <c r="AD2" s="925" cm="1">
        <f t="array" ref="AD2">INDEX($1:$1048576,$C2,COLUMN())</f>
        <v>1.2469478000000001E-2</v>
      </c>
      <c r="AE2" s="925" cm="1">
        <f t="array" ref="AE2">INDEX($1:$1048576,$C2,COLUMN())</f>
        <v>8.0497668999999995E-5</v>
      </c>
      <c r="AF2" s="925" cm="1">
        <f t="array" ref="AF2">INDEX($1:$1048576,$C2,COLUMN())</f>
        <v>1.3248165E-4</v>
      </c>
      <c r="AG2" s="925" cm="1">
        <f t="array" ref="AG2">INDEX($1:$1048576,$C2,COLUMN())</f>
        <v>4.1329888E-3</v>
      </c>
      <c r="AH2" s="925" cm="1">
        <f t="array" ref="AH2">INDEX($1:$1048576,$C2,COLUMN())</f>
        <v>6.8145254000000002E-3</v>
      </c>
      <c r="AI2" s="925" cm="1">
        <f t="array" ref="AI2">INDEX($1:$1048576,$C2,COLUMN())</f>
        <v>6.8324414E-3</v>
      </c>
      <c r="AJ2" s="925" cm="1">
        <f t="array" ref="AJ2">INDEX($1:$1048576,$C2,COLUMN())</f>
        <v>6.8722653000000003E-3</v>
      </c>
      <c r="AK2" s="925" cm="1">
        <f t="array" ref="AK2">INDEX($1:$1048576,$C2,COLUMN())</f>
        <v>6.6364822E-3</v>
      </c>
      <c r="AL2" s="925" cm="1">
        <f t="array" ref="AL2">INDEX($1:$1048576,$C2,COLUMN())</f>
        <v>6.2607935999999999E-3</v>
      </c>
      <c r="AM2" s="925" cm="1">
        <f t="array" ref="AM2">INDEX($1:$1048576,$C2,COLUMN())</f>
        <v>4.4477209999999996</v>
      </c>
      <c r="AN2" s="925" cm="1">
        <f t="array" ref="AN2">INDEX($1:$1048576,$C2,COLUMN())</f>
        <v>1.8041395999999999E-4</v>
      </c>
      <c r="AO2" s="925" cm="1">
        <f t="array" ref="AO2">INDEX($1:$1048576,$C2,COLUMN())</f>
        <v>55.835211999999999</v>
      </c>
      <c r="AP2" s="925" cm="1">
        <f t="array" ref="AP2">INDEX($1:$1048576,$C2,COLUMN())</f>
        <v>56.857430999999998</v>
      </c>
      <c r="AQ2" s="925" cm="1">
        <f t="array" ref="AQ2">INDEX($1:$1048576,$C2,COLUMN())</f>
        <v>5.9220683999999997</v>
      </c>
      <c r="AR2" s="925" cm="1">
        <f t="array" ref="AR2">INDEX($1:$1048576,$C2,COLUMN())</f>
        <v>59.342305000000003</v>
      </c>
      <c r="AS2" s="925" cm="1">
        <f t="array" ref="AS2">INDEX($1:$1048576,$C2,COLUMN())</f>
        <v>5.1576711999999997E-2</v>
      </c>
      <c r="AT2" s="925" cm="1">
        <f t="array" ref="AT2">INDEX($1:$1048576,$C2,COLUMN())</f>
        <v>0.21488636999999999</v>
      </c>
      <c r="AU2" s="925" cm="1">
        <f t="array" ref="AU2">INDEX($1:$1048576,$C2,COLUMN())</f>
        <v>3.1186946E-2</v>
      </c>
      <c r="AV2" s="925" cm="1">
        <f t="array" ref="AV2">INDEX($1:$1048576,$C2,COLUMN())</f>
        <v>4.3371291999999999E-2</v>
      </c>
      <c r="AW2" s="925" cm="1">
        <f t="array" ref="AW2">INDEX($1:$1048576,$C2,COLUMN())</f>
        <v>0.19922276999999999</v>
      </c>
      <c r="AX2" s="925" cm="1">
        <f t="array" ref="AX2">INDEX($1:$1048576,$C2,COLUMN())</f>
        <v>3.3835951</v>
      </c>
      <c r="AY2" s="925" cm="1">
        <f t="array" ref="AY2">INDEX($1:$1048576,$C2,COLUMN())</f>
        <v>8.5317971000000006E-2</v>
      </c>
      <c r="AZ2" s="925" cm="1">
        <f t="array" ref="AZ2">INDEX($1:$1048576,$C2,COLUMN())</f>
        <v>6.9144761999999999E-2</v>
      </c>
      <c r="BA2" s="925" cm="1">
        <f t="array" ref="BA2">INDEX($1:$1048576,$C2,COLUMN())</f>
        <v>5.1351029999999999E-2</v>
      </c>
      <c r="BB2" s="925" cm="1">
        <f t="array" ref="BB2">INDEX($1:$1048576,$C2,COLUMN())</f>
        <v>0.16934110999999999</v>
      </c>
      <c r="BC2" s="925" cm="1">
        <f t="array" ref="BC2">INDEX($1:$1048576,$C2,COLUMN())</f>
        <v>8.6701998000000002E-2</v>
      </c>
      <c r="BD2" s="925" cm="1">
        <f t="array" ref="BD2">INDEX($1:$1048576,$C2,COLUMN())</f>
        <v>1.0494498999999999</v>
      </c>
      <c r="BE2" s="925" cm="1">
        <f t="array" ref="BE2">INDEX($1:$1048576,$C2,COLUMN())</f>
        <v>1.1411245999999999</v>
      </c>
      <c r="BF2" s="925" cm="1">
        <f t="array" ref="BF2">INDEX($1:$1048576,$C2,COLUMN())</f>
        <v>6.6147995000000001E-2</v>
      </c>
      <c r="BG2" s="925" cm="1">
        <f t="array" ref="BG2">INDEX($1:$1048576,$C2,COLUMN())</f>
        <v>2.4119439999999999E-2</v>
      </c>
      <c r="BH2" s="925" cm="1">
        <f t="array" ref="BH2">INDEX($1:$1048576,$C2,COLUMN())</f>
        <v>3.4792174000000002E-2</v>
      </c>
      <c r="BI2" s="925" cm="1">
        <f t="array" ref="BI2">INDEX($1:$1048576,$C2,COLUMN())</f>
        <v>4.3218413999999997E-2</v>
      </c>
      <c r="BJ2" s="925" cm="1">
        <f t="array" ref="BJ2">INDEX($1:$1048576,$C2,COLUMN())</f>
        <v>0.12855459999999999</v>
      </c>
      <c r="BK2" s="925" cm="1">
        <f t="array" ref="BK2">INDEX($1:$1048576,$C2,COLUMN())</f>
        <v>3.8401250999999997E-2</v>
      </c>
      <c r="BL2" s="925" cm="1">
        <f t="array" ref="BL2">INDEX($1:$1048576,$C2,COLUMN())</f>
        <v>2.6938026000000002</v>
      </c>
      <c r="BM2" s="925" cm="1">
        <f t="array" ref="BM2">INDEX($1:$1048576,$C2,COLUMN())</f>
        <v>2.0938855999999999E-2</v>
      </c>
      <c r="BN2" s="925" cm="1">
        <f t="array" ref="BN2">INDEX($1:$1048576,$C2,COLUMN())</f>
        <v>1.8123849000000001E-2</v>
      </c>
      <c r="BO2" s="925" cm="1">
        <f t="array" ref="BO2">INDEX($1:$1048576,$C2,COLUMN())</f>
        <v>0.2435765</v>
      </c>
      <c r="BP2" s="925" cm="1">
        <f t="array" ref="BP2">INDEX($1:$1048576,$C2,COLUMN())</f>
        <v>0.15934189000000001</v>
      </c>
      <c r="BQ2" s="925" cm="1">
        <f t="array" ref="BQ2">INDEX($1:$1048576,$C2,COLUMN())</f>
        <v>1.1710329E-2</v>
      </c>
      <c r="BR2" s="925" cm="1">
        <f t="array" ref="BR2">INDEX($1:$1048576,$C2,COLUMN())</f>
        <v>4.7983638000000002E-2</v>
      </c>
      <c r="BS2" s="925" cm="1">
        <f t="array" ref="BS2">INDEX($1:$1048576,$C2,COLUMN())</f>
        <v>1.3784965999999999E-2</v>
      </c>
      <c r="BT2" s="925" cm="1">
        <f t="array" ref="BT2">INDEX($1:$1048576,$C2,COLUMN())</f>
        <v>1.0637446E-2</v>
      </c>
      <c r="BU2" s="925" cm="1">
        <f t="array" ref="BU2">INDEX($1:$1048576,$C2,COLUMN())</f>
        <v>1.3148842000000001E-2</v>
      </c>
      <c r="BV2" s="925" cm="1">
        <f t="array" ref="BV2">INDEX($1:$1048576,$C2,COLUMN())</f>
        <v>3.3223924000000001E-3</v>
      </c>
      <c r="BW2" s="925" cm="1">
        <f t="array" ref="BW2">INDEX($1:$1048576,$C2,COLUMN())</f>
        <v>1.4619866E-2</v>
      </c>
      <c r="BX2" s="925" cm="1">
        <f t="array" ref="BX2">INDEX($1:$1048576,$C2,COLUMN())</f>
        <v>2.8969559999999998E-2</v>
      </c>
      <c r="BY2" s="925" cm="1">
        <f t="array" ref="BY2">INDEX($1:$1048576,$C2,COLUMN())</f>
        <v>1.4619866E-2</v>
      </c>
      <c r="BZ2" s="925" cm="1">
        <f t="array" ref="BZ2">INDEX($1:$1048576,$C2,COLUMN())</f>
        <v>0.46450736999999998</v>
      </c>
      <c r="CA2" s="925" cm="1">
        <f t="array" ref="CA2">INDEX($1:$1048576,$C2,COLUMN())</f>
        <v>0.42199742000000001</v>
      </c>
      <c r="CB2" s="925" cm="1">
        <f t="array" ref="CB2">INDEX($1:$1048576,$C2,COLUMN())</f>
        <v>0.18302265000000001</v>
      </c>
      <c r="CC2" s="925" cm="1">
        <f t="array" ref="CC2">INDEX($1:$1048576,$C2,COLUMN())</f>
        <v>2.4965225999999999E-3</v>
      </c>
      <c r="CD2" s="925" cm="1">
        <f t="array" ref="CD2">INDEX($1:$1048576,$C2,COLUMN())</f>
        <v>0.37133206000000002</v>
      </c>
      <c r="CE2" s="925" cm="1">
        <f t="array" ref="CE2">INDEX($1:$1048576,$C2,COLUMN())</f>
        <v>6.2868839999999995E-2</v>
      </c>
      <c r="CF2" s="925" cm="1">
        <f t="array" ref="CF2">INDEX($1:$1048576,$C2,COLUMN())</f>
        <v>9.3247556999999995E-2</v>
      </c>
      <c r="CG2" s="925" cm="1">
        <f t="array" ref="CG2">INDEX($1:$1048576,$C2,COLUMN())</f>
        <v>5.5878419999999998E-2</v>
      </c>
      <c r="CH2" s="925" cm="1">
        <f t="array" ref="CH2">INDEX($1:$1048576,$C2,COLUMN())</f>
        <v>9.4314771999999998E-3</v>
      </c>
      <c r="CI2" s="925" cm="1">
        <f t="array" ref="CI2">INDEX($1:$1048576,$C2,COLUMN())</f>
        <v>9.6189563999999998E-3</v>
      </c>
      <c r="CJ2" s="925" cm="1">
        <f t="array" ref="CJ2">INDEX($1:$1048576,$C2,COLUMN())</f>
        <v>1.6873467E-2</v>
      </c>
      <c r="CK2" s="925" cm="1">
        <f t="array" ref="CK2">INDEX($1:$1048576,$C2,COLUMN())</f>
        <v>2.5983502000000002E-3</v>
      </c>
      <c r="CL2" s="925" cm="1">
        <f t="array" ref="CL2">INDEX($1:$1048576,$C2,COLUMN())</f>
        <v>3.3569795999999999E-6</v>
      </c>
      <c r="CM2" s="925" cm="1">
        <f t="array" ref="CM2">INDEX($1:$1048576,$C2,COLUMN())</f>
        <v>8.6202727000000008E-6</v>
      </c>
      <c r="CN2" s="925" cm="1">
        <f t="array" ref="CN2">INDEX($1:$1048576,$C2,COLUMN())</f>
        <v>6.8593750999999998E-6</v>
      </c>
      <c r="CO2" s="925" cm="1">
        <f t="array" ref="CO2">INDEX($1:$1048576,$C2,COLUMN())</f>
        <v>1.1657858000000001E-5</v>
      </c>
      <c r="CP2" s="925" cm="1">
        <f t="array" ref="CP2">INDEX($1:$1048576,$C2,COLUMN())</f>
        <v>1.1899127999999999E-5</v>
      </c>
      <c r="CQ2" s="925" cm="1">
        <f t="array" ref="CQ2">INDEX($1:$1048576,$C2,COLUMN())</f>
        <v>1.1139473E-5</v>
      </c>
      <c r="CR2" s="925" cm="1">
        <f t="array" ref="CR2">INDEX($1:$1048576,$C2,COLUMN())</f>
        <v>2.4415176999999997E-4</v>
      </c>
      <c r="CS2" s="925" cm="1">
        <f t="array" ref="CS2">INDEX($1:$1048576,$C2,COLUMN())</f>
        <v>1.0290385000000001E-3</v>
      </c>
      <c r="CT2" s="925" cm="1">
        <f t="array" ref="CT2">INDEX($1:$1048576,$C2,COLUMN())</f>
        <v>3.8237027E-2</v>
      </c>
      <c r="CU2" s="925" cm="1">
        <f t="array" ref="CU2">INDEX($1:$1048576,$C2,COLUMN())</f>
        <v>7.2851484000000001E-3</v>
      </c>
      <c r="CV2" s="925" cm="1">
        <f t="array" ref="CV2">INDEX($1:$1048576,$C2,COLUMN())</f>
        <v>2.7296597999999998E-2</v>
      </c>
      <c r="CW2" s="925" cm="1">
        <f t="array" ref="CW2">INDEX($1:$1048576,$C2,COLUMN())</f>
        <v>7.6893820000000002E-2</v>
      </c>
      <c r="CX2" s="925" cm="1">
        <f t="array" ref="CX2">INDEX($1:$1048576,$C2,COLUMN())</f>
        <v>0</v>
      </c>
      <c r="CY2" s="925" cm="1">
        <f t="array" ref="CY2">INDEX($1:$1048576,$C2,COLUMN())</f>
        <v>0</v>
      </c>
      <c r="CZ2" s="925" cm="1">
        <f t="array" ref="CZ2">INDEX($1:$1048576,$C2,COLUMN())</f>
        <v>0</v>
      </c>
      <c r="DA2" s="925" cm="1">
        <f t="array" ref="DA2">INDEX($1:$1048576,$C2,COLUMN())</f>
        <v>0</v>
      </c>
      <c r="DB2" s="925" cm="1">
        <f t="array" ref="DB2">INDEX($1:$1048576,$C2,COLUMN())</f>
        <v>0</v>
      </c>
      <c r="DC2" s="3"/>
      <c r="DD2" s="3"/>
      <c r="DE2" s="3"/>
      <c r="DF2" s="3"/>
      <c r="DG2" s="3"/>
      <c r="DH2" s="3"/>
      <c r="DI2" s="3"/>
      <c r="DJ2" s="3"/>
      <c r="DK2" s="3"/>
      <c r="DL2" s="3"/>
      <c r="DM2" s="3"/>
      <c r="DN2" s="3"/>
      <c r="DO2" s="3"/>
      <c r="DP2" s="3"/>
      <c r="DQ2" s="3"/>
      <c r="DR2" s="3"/>
      <c r="DS2" s="3"/>
      <c r="DT2" s="3"/>
      <c r="DU2" s="3"/>
      <c r="DV2" s="3"/>
      <c r="DW2" s="3"/>
    </row>
    <row r="3" spans="1:127">
      <c r="A3" t="s">
        <v>2160</v>
      </c>
      <c r="B3">
        <f>MATCH(A3,D:D,0)</f>
        <v>227</v>
      </c>
      <c r="C3">
        <f>$B3+10</f>
        <v>237</v>
      </c>
      <c r="D3">
        <f>ROW()</f>
        <v>3</v>
      </c>
      <c r="E3" s="925" cm="1">
        <f t="array" ref="E3">INDEX($1:$1048576,$C3,COLUMN())</f>
        <v>9.6459115999999998</v>
      </c>
      <c r="F3" s="925" cm="1">
        <f t="array" ref="F3">INDEX($1:$1048576,$C3,COLUMN())</f>
        <v>2.0817703000000001</v>
      </c>
      <c r="G3" s="925" cm="1">
        <f t="array" ref="G3">INDEX($1:$1048576,$C3,COLUMN())</f>
        <v>41.245741000000002</v>
      </c>
      <c r="H3" s="925" cm="1">
        <f t="array" ref="H3">INDEX($1:$1048576,$C3,COLUMN())</f>
        <v>0.43377016000000002</v>
      </c>
      <c r="I3" s="925" cm="1">
        <f t="array" ref="I3">INDEX($1:$1048576,$C3,COLUMN())</f>
        <v>9.8195332999999996E-2</v>
      </c>
      <c r="J3" s="925" cm="1">
        <f t="array" ref="J3">INDEX($1:$1048576,$C3,COLUMN())</f>
        <v>0.61522162000000002</v>
      </c>
      <c r="K3" s="925" cm="1">
        <f t="array" ref="K3">INDEX($1:$1048576,$C3,COLUMN())</f>
        <v>0.46872118000000002</v>
      </c>
      <c r="L3" s="925" cm="1">
        <f t="array" ref="L3">INDEX($1:$1048576,$C3,COLUMN())</f>
        <v>0.32377841000000002</v>
      </c>
      <c r="M3" s="925" cm="1">
        <f t="array" ref="M3">INDEX($1:$1048576,$C3,COLUMN())</f>
        <v>0.37382535</v>
      </c>
      <c r="N3" s="925" cm="1">
        <f t="array" ref="N3">INDEX($1:$1048576,$C3,COLUMN())</f>
        <v>0.31993857999999997</v>
      </c>
      <c r="O3" s="925" cm="1">
        <f t="array" ref="O3">INDEX($1:$1048576,$C3,COLUMN())</f>
        <v>1.2618241000000001E-2</v>
      </c>
      <c r="P3" s="925" cm="1">
        <f t="array" ref="P3">INDEX($1:$1048576,$C3,COLUMN())</f>
        <v>2.8919218999999999E-2</v>
      </c>
      <c r="Q3" s="925" cm="1">
        <f t="array" ref="Q3">INDEX($1:$1048576,$C3,COLUMN())</f>
        <v>0.35511542000000001</v>
      </c>
      <c r="R3" s="925" cm="1">
        <f t="array" ref="R3">INDEX($1:$1048576,$C3,COLUMN())</f>
        <v>0.35963353999999997</v>
      </c>
      <c r="S3" s="925" cm="1">
        <f t="array" ref="S3">INDEX($1:$1048576,$C3,COLUMN())</f>
        <v>0.39764158999999999</v>
      </c>
      <c r="T3" s="925" cm="1">
        <f t="array" ref="T3">INDEX($1:$1048576,$C3,COLUMN())</f>
        <v>0.26504651000000001</v>
      </c>
      <c r="U3" s="925" cm="1">
        <f t="array" ref="U3">INDEX($1:$1048576,$C3,COLUMN())</f>
        <v>0.18548255</v>
      </c>
      <c r="V3" s="925" cm="1">
        <f t="array" ref="V3">INDEX($1:$1048576,$C3,COLUMN())</f>
        <v>0.12373965000000001</v>
      </c>
      <c r="W3" s="925" cm="1">
        <f t="array" ref="W3">INDEX($1:$1048576,$C3,COLUMN())</f>
        <v>0</v>
      </c>
      <c r="X3" s="925" cm="1">
        <f t="array" ref="X3">INDEX($1:$1048576,$C3,COLUMN())</f>
        <v>6.4853483000000003E-2</v>
      </c>
      <c r="Y3" s="925" cm="1">
        <f t="array" ref="Y3">INDEX($1:$1048576,$C3,COLUMN())</f>
        <v>1.6797880000000001E-2</v>
      </c>
      <c r="Z3" s="925" cm="1">
        <f t="array" ref="Z3">INDEX($1:$1048576,$C3,COLUMN())</f>
        <v>3.4773997000000001E-2</v>
      </c>
      <c r="AA3" s="925" cm="1">
        <f t="array" ref="AA3">INDEX($1:$1048576,$C3,COLUMN())</f>
        <v>3.1971303E-3</v>
      </c>
      <c r="AB3" s="925" cm="1">
        <f t="array" ref="AB3">INDEX($1:$1048576,$C3,COLUMN())</f>
        <v>0.1860802</v>
      </c>
      <c r="AC3" s="925" cm="1">
        <f t="array" ref="AC3">INDEX($1:$1048576,$C3,COLUMN())</f>
        <v>0.31627283</v>
      </c>
      <c r="AD3" s="925" cm="1">
        <f t="array" ref="AD3">INDEX($1:$1048576,$C3,COLUMN())</f>
        <v>1.9884818</v>
      </c>
      <c r="AE3" s="925" cm="1">
        <f t="array" ref="AE3">INDEX($1:$1048576,$C3,COLUMN())</f>
        <v>1.7409274999999999E-3</v>
      </c>
      <c r="AF3" s="925" cm="1">
        <f t="array" ref="AF3">INDEX($1:$1048576,$C3,COLUMN())</f>
        <v>2.2635983E-3</v>
      </c>
      <c r="AG3" s="925" cm="1">
        <f t="array" ref="AG3">INDEX($1:$1048576,$C3,COLUMN())</f>
        <v>3.50607E-2</v>
      </c>
      <c r="AH3" s="925" cm="1">
        <f t="array" ref="AH3">INDEX($1:$1048576,$C3,COLUMN())</f>
        <v>1.3300892999999999E-2</v>
      </c>
      <c r="AI3" s="925" cm="1">
        <f t="array" ref="AI3">INDEX($1:$1048576,$C3,COLUMN())</f>
        <v>2.3246961E-2</v>
      </c>
      <c r="AJ3" s="925" cm="1">
        <f t="array" ref="AJ3">INDEX($1:$1048576,$C3,COLUMN())</f>
        <v>3.7012110000000001E-2</v>
      </c>
      <c r="AK3" s="925" cm="1">
        <f t="array" ref="AK3">INDEX($1:$1048576,$C3,COLUMN())</f>
        <v>2.7611261000000001E-3</v>
      </c>
      <c r="AL3" s="925" cm="1">
        <f t="array" ref="AL3">INDEX($1:$1048576,$C3,COLUMN())</f>
        <v>4.0108635E-4</v>
      </c>
      <c r="AM3" s="925" cm="1">
        <f t="array" ref="AM3">INDEX($1:$1048576,$C3,COLUMN())</f>
        <v>0</v>
      </c>
      <c r="AN3" s="925" cm="1">
        <f t="array" ref="AN3">INDEX($1:$1048576,$C3,COLUMN())</f>
        <v>3.1971303E-3</v>
      </c>
      <c r="AO3" s="925" cm="1">
        <f t="array" ref="AO3">INDEX($1:$1048576,$C3,COLUMN())</f>
        <v>3.4506383999999999</v>
      </c>
      <c r="AP3" s="925" cm="1">
        <f t="array" ref="AP3">INDEX($1:$1048576,$C3,COLUMN())</f>
        <v>1.322713</v>
      </c>
      <c r="AQ3" s="925" cm="1">
        <f t="array" ref="AQ3">INDEX($1:$1048576,$C3,COLUMN())</f>
        <v>53.293982</v>
      </c>
      <c r="AR3" s="925" cm="1">
        <f t="array" ref="AR3">INDEX($1:$1048576,$C3,COLUMN())</f>
        <v>83.806855999999996</v>
      </c>
      <c r="AS3" s="925" cm="1">
        <f t="array" ref="AS3">INDEX($1:$1048576,$C3,COLUMN())</f>
        <v>0.43343807000000001</v>
      </c>
      <c r="AT3" s="925" cm="1">
        <f t="array" ref="AT3">INDEX($1:$1048576,$C3,COLUMN())</f>
        <v>2.8380448</v>
      </c>
      <c r="AU3" s="925" cm="1">
        <f t="array" ref="AU3">INDEX($1:$1048576,$C3,COLUMN())</f>
        <v>0.49922933000000003</v>
      </c>
      <c r="AV3" s="925" cm="1">
        <f t="array" ref="AV3">INDEX($1:$1048576,$C3,COLUMN())</f>
        <v>0.14767585</v>
      </c>
      <c r="AW3" s="925" cm="1">
        <f t="array" ref="AW3">INDEX($1:$1048576,$C3,COLUMN())</f>
        <v>1.0290319000000001</v>
      </c>
      <c r="AX3" s="925" cm="1">
        <f t="array" ref="AX3">INDEX($1:$1048576,$C3,COLUMN())</f>
        <v>13.539123999999999</v>
      </c>
      <c r="AY3" s="925" cm="1">
        <f t="array" ref="AY3">INDEX($1:$1048576,$C3,COLUMN())</f>
        <v>0.51963713</v>
      </c>
      <c r="AZ3" s="925" cm="1">
        <f t="array" ref="AZ3">INDEX($1:$1048576,$C3,COLUMN())</f>
        <v>0.31007410000000002</v>
      </c>
      <c r="BA3" s="925" cm="1">
        <f t="array" ref="BA3">INDEX($1:$1048576,$C3,COLUMN())</f>
        <v>0.55494337000000005</v>
      </c>
      <c r="BB3" s="925" cm="1">
        <f t="array" ref="BB3">INDEX($1:$1048576,$C3,COLUMN())</f>
        <v>0.95460244999999999</v>
      </c>
      <c r="BC3" s="925" cm="1">
        <f t="array" ref="BC3">INDEX($1:$1048576,$C3,COLUMN())</f>
        <v>0.49799823999999998</v>
      </c>
      <c r="BD3" s="925" cm="1">
        <f t="array" ref="BD3">INDEX($1:$1048576,$C3,COLUMN())</f>
        <v>10.409007000000001</v>
      </c>
      <c r="BE3" s="925" cm="1">
        <f t="array" ref="BE3">INDEX($1:$1048576,$C3,COLUMN())</f>
        <v>2.6307475</v>
      </c>
      <c r="BF3" s="925" cm="1">
        <f t="array" ref="BF3">INDEX($1:$1048576,$C3,COLUMN())</f>
        <v>9.7867872999999994E-2</v>
      </c>
      <c r="BG3" s="925" cm="1">
        <f t="array" ref="BG3">INDEX($1:$1048576,$C3,COLUMN())</f>
        <v>0.3107837</v>
      </c>
      <c r="BH3" s="925" cm="1">
        <f t="array" ref="BH3">INDEX($1:$1048576,$C3,COLUMN())</f>
        <v>8.7099865999999998E-2</v>
      </c>
      <c r="BI3" s="925" cm="1">
        <f t="array" ref="BI3">INDEX($1:$1048576,$C3,COLUMN())</f>
        <v>7.5660719000000001E-2</v>
      </c>
      <c r="BJ3" s="925" cm="1">
        <f t="array" ref="BJ3">INDEX($1:$1048576,$C3,COLUMN())</f>
        <v>0.22039791</v>
      </c>
      <c r="BK3" s="925" cm="1">
        <f t="array" ref="BK3">INDEX($1:$1048576,$C3,COLUMN())</f>
        <v>0.10490057</v>
      </c>
      <c r="BL3" s="925" cm="1">
        <f t="array" ref="BL3">INDEX($1:$1048576,$C3,COLUMN())</f>
        <v>3.1691595000000001</v>
      </c>
      <c r="BM3" s="925" cm="1">
        <f t="array" ref="BM3">INDEX($1:$1048576,$C3,COLUMN())</f>
        <v>5.6959546999999999E-2</v>
      </c>
      <c r="BN3" s="925" cm="1">
        <f t="array" ref="BN3">INDEX($1:$1048576,$C3,COLUMN())</f>
        <v>0.11457455</v>
      </c>
      <c r="BO3" s="925" cm="1">
        <f t="array" ref="BO3">INDEX($1:$1048576,$C3,COLUMN())</f>
        <v>0.56102805</v>
      </c>
      <c r="BP3" s="925" cm="1">
        <f t="array" ref="BP3">INDEX($1:$1048576,$C3,COLUMN())</f>
        <v>0.38890174999999999</v>
      </c>
      <c r="BQ3" s="925" cm="1">
        <f t="array" ref="BQ3">INDEX($1:$1048576,$C3,COLUMN())</f>
        <v>5.5972186E-2</v>
      </c>
      <c r="BR3" s="925" cm="1">
        <f t="array" ref="BR3">INDEX($1:$1048576,$C3,COLUMN())</f>
        <v>3.7781716999999999E-2</v>
      </c>
      <c r="BS3" s="925" cm="1">
        <f t="array" ref="BS3">INDEX($1:$1048576,$C3,COLUMN())</f>
        <v>2.6730118000000001E-2</v>
      </c>
      <c r="BT3" s="925" cm="1">
        <f t="array" ref="BT3">INDEX($1:$1048576,$C3,COLUMN())</f>
        <v>2.3989527E-2</v>
      </c>
      <c r="BU3" s="925" cm="1">
        <f t="array" ref="BU3">INDEX($1:$1048576,$C3,COLUMN())</f>
        <v>0.13233481999999999</v>
      </c>
      <c r="BV3" s="925" cm="1">
        <f t="array" ref="BV3">INDEX($1:$1048576,$C3,COLUMN())</f>
        <v>2.1613257E-2</v>
      </c>
      <c r="BW3" s="925" cm="1">
        <f t="array" ref="BW3">INDEX($1:$1048576,$C3,COLUMN())</f>
        <v>0.12896605</v>
      </c>
      <c r="BX3" s="925" cm="1">
        <f t="array" ref="BX3">INDEX($1:$1048576,$C3,COLUMN())</f>
        <v>0.33318985000000001</v>
      </c>
      <c r="BY3" s="925" cm="1">
        <f t="array" ref="BY3">INDEX($1:$1048576,$C3,COLUMN())</f>
        <v>0.12896605</v>
      </c>
      <c r="BZ3" s="925" cm="1">
        <f t="array" ref="BZ3">INDEX($1:$1048576,$C3,COLUMN())</f>
        <v>1.1333820999999999</v>
      </c>
      <c r="CA3" s="925" cm="1">
        <f t="array" ref="CA3">INDEX($1:$1048576,$C3,COLUMN())</f>
        <v>1.0894212000000001</v>
      </c>
      <c r="CB3" s="925" cm="1">
        <f t="array" ref="CB3">INDEX($1:$1048576,$C3,COLUMN())</f>
        <v>0.70449589000000001</v>
      </c>
      <c r="CC3" s="925" cm="1">
        <f t="array" ref="CC3">INDEX($1:$1048576,$C3,COLUMN())</f>
        <v>1.4752965E-2</v>
      </c>
      <c r="CD3" s="925" cm="1">
        <f t="array" ref="CD3">INDEX($1:$1048576,$C3,COLUMN())</f>
        <v>3.5942552000000001</v>
      </c>
      <c r="CE3" s="925" cm="1">
        <f t="array" ref="CE3">INDEX($1:$1048576,$C3,COLUMN())</f>
        <v>1.0405936</v>
      </c>
      <c r="CF3" s="925" cm="1">
        <f t="array" ref="CF3">INDEX($1:$1048576,$C3,COLUMN())</f>
        <v>1.1573009000000001</v>
      </c>
      <c r="CG3" s="925" cm="1">
        <f t="array" ref="CG3">INDEX($1:$1048576,$C3,COLUMN())</f>
        <v>0.76409797000000002</v>
      </c>
      <c r="CH3" s="925" cm="1">
        <f t="array" ref="CH3">INDEX($1:$1048576,$C3,COLUMN())</f>
        <v>0.12810348999999999</v>
      </c>
      <c r="CI3" s="925" cm="1">
        <f t="array" ref="CI3">INDEX($1:$1048576,$C3,COLUMN())</f>
        <v>0.12987278999999999</v>
      </c>
      <c r="CJ3" s="925" cm="1">
        <f t="array" ref="CJ3">INDEX($1:$1048576,$C3,COLUMN())</f>
        <v>0.22413593000000001</v>
      </c>
      <c r="CK3" s="925" cm="1">
        <f t="array" ref="CK3">INDEX($1:$1048576,$C3,COLUMN())</f>
        <v>1.8602695999999998E-2</v>
      </c>
      <c r="CL3" s="925" cm="1">
        <f t="array" ref="CL3">INDEX($1:$1048576,$C3,COLUMN())</f>
        <v>4.2786E-5</v>
      </c>
      <c r="CM3" s="925" cm="1">
        <f t="array" ref="CM3">INDEX($1:$1048576,$C3,COLUMN())</f>
        <v>2.3667086E-4</v>
      </c>
      <c r="CN3" s="925" cm="1">
        <f t="array" ref="CN3">INDEX($1:$1048576,$C3,COLUMN())</f>
        <v>1.2737965000000001E-4</v>
      </c>
      <c r="CO3" s="925" cm="1">
        <f t="array" ref="CO3">INDEX($1:$1048576,$C3,COLUMN())</f>
        <v>1.4614726E-4</v>
      </c>
      <c r="CP3" s="925" cm="1">
        <f t="array" ref="CP3">INDEX($1:$1048576,$C3,COLUMN())</f>
        <v>1.8173319E-4</v>
      </c>
      <c r="CQ3" s="925" cm="1">
        <f t="array" ref="CQ3">INDEX($1:$1048576,$C3,COLUMN())</f>
        <v>1.2593972000000001E-4</v>
      </c>
      <c r="CR3" s="925" cm="1">
        <f t="array" ref="CR3">INDEX($1:$1048576,$C3,COLUMN())</f>
        <v>3.8225554999999998E-3</v>
      </c>
      <c r="CS3" s="925" cm="1">
        <f t="array" ref="CS3">INDEX($1:$1048576,$C3,COLUMN())</f>
        <v>1.6111113E-2</v>
      </c>
      <c r="CT3" s="925" cm="1">
        <f t="array" ref="CT3">INDEX($1:$1048576,$C3,COLUMN())</f>
        <v>0.59865696999999995</v>
      </c>
      <c r="CU3" s="925" cm="1">
        <f t="array" ref="CU3">INDEX($1:$1048576,$C3,COLUMN())</f>
        <v>8.4647179000000003E-2</v>
      </c>
      <c r="CV3" s="925" cm="1">
        <f t="array" ref="CV3">INDEX($1:$1048576,$C3,COLUMN())</f>
        <v>0.36480127000000001</v>
      </c>
      <c r="CW3" s="925" cm="1">
        <f t="array" ref="CW3">INDEX($1:$1048576,$C3,COLUMN())</f>
        <v>1.5522024999999999</v>
      </c>
      <c r="CX3" s="925" cm="1">
        <f t="array" ref="CX3">INDEX($1:$1048576,$C3,COLUMN())</f>
        <v>0</v>
      </c>
      <c r="CY3" s="925" cm="1">
        <f t="array" ref="CY3">INDEX($1:$1048576,$C3,COLUMN())</f>
        <v>0</v>
      </c>
      <c r="CZ3" s="925" cm="1">
        <f t="array" ref="CZ3">INDEX($1:$1048576,$C3,COLUMN())</f>
        <v>0</v>
      </c>
      <c r="DA3" s="925" cm="1">
        <f t="array" ref="DA3">INDEX($1:$1048576,$C3,COLUMN())</f>
        <v>0</v>
      </c>
      <c r="DB3" s="925" cm="1">
        <f t="array" ref="DB3">INDEX($1:$1048576,$C3,COLUMN())</f>
        <v>0</v>
      </c>
      <c r="DC3" s="3"/>
      <c r="DD3" s="3"/>
      <c r="DE3" s="3"/>
      <c r="DF3" s="3"/>
    </row>
    <row r="4" spans="1:127">
      <c r="A4" t="s">
        <v>602</v>
      </c>
      <c r="B4">
        <f>MATCH(A4,D:D,0)</f>
        <v>349</v>
      </c>
      <c r="C4">
        <f>$B4+10</f>
        <v>359</v>
      </c>
      <c r="D4">
        <f>ROW()</f>
        <v>4</v>
      </c>
      <c r="E4" s="925" cm="1">
        <f t="array" ref="E4">INDEX($1:$1048576,$C4,COLUMN())</f>
        <v>113.85905</v>
      </c>
      <c r="F4" s="925" cm="1">
        <f t="array" ref="F4">INDEX($1:$1048576,$C4,COLUMN())</f>
        <v>18.377621999999999</v>
      </c>
      <c r="G4" s="925" cm="1">
        <f t="array" ref="G4">INDEX($1:$1048576,$C4,COLUMN())</f>
        <v>490.07040000000001</v>
      </c>
      <c r="H4" s="925" cm="1">
        <f t="array" ref="H4">INDEX($1:$1048576,$C4,COLUMN())</f>
        <v>7.3437758999999998</v>
      </c>
      <c r="I4" s="925" cm="1">
        <f t="array" ref="I4">INDEX($1:$1048576,$C4,COLUMN())</f>
        <v>4.6646599000000002</v>
      </c>
      <c r="J4" s="925" cm="1">
        <f t="array" ref="J4">INDEX($1:$1048576,$C4,COLUMN())</f>
        <v>8.9743510999999998</v>
      </c>
      <c r="K4" s="925" cm="1">
        <f t="array" ref="K4">INDEX($1:$1048576,$C4,COLUMN())</f>
        <v>12.253833</v>
      </c>
      <c r="L4" s="925" cm="1">
        <f t="array" ref="L4">INDEX($1:$1048576,$C4,COLUMN())</f>
        <v>4.4825818000000002</v>
      </c>
      <c r="M4" s="925" cm="1">
        <f t="array" ref="M4">INDEX($1:$1048576,$C4,COLUMN())</f>
        <v>9.7454263000000001</v>
      </c>
      <c r="N4" s="925" cm="1">
        <f t="array" ref="N4">INDEX($1:$1048576,$C4,COLUMN())</f>
        <v>7.7765722999999998</v>
      </c>
      <c r="O4" s="925" cm="1">
        <f t="array" ref="O4">INDEX($1:$1048576,$C4,COLUMN())</f>
        <v>0.10990161</v>
      </c>
      <c r="P4" s="925" cm="1">
        <f t="array" ref="P4">INDEX($1:$1048576,$C4,COLUMN())</f>
        <v>0.29058321999999998</v>
      </c>
      <c r="Q4" s="925" cm="1">
        <f t="array" ref="Q4">INDEX($1:$1048576,$C4,COLUMN())</f>
        <v>4.7234866000000002</v>
      </c>
      <c r="R4" s="925" cm="1">
        <f t="array" ref="R4">INDEX($1:$1048576,$C4,COLUMN())</f>
        <v>4.5945083000000002</v>
      </c>
      <c r="S4" s="925" cm="1">
        <f t="array" ref="S4">INDEX($1:$1048576,$C4,COLUMN())</f>
        <v>5.2771273000000001</v>
      </c>
      <c r="T4" s="925" cm="1">
        <f t="array" ref="T4">INDEX($1:$1048576,$C4,COLUMN())</f>
        <v>4.3627019000000002</v>
      </c>
      <c r="U4" s="925" cm="1">
        <f t="array" ref="U4">INDEX($1:$1048576,$C4,COLUMN())</f>
        <v>1.1761693</v>
      </c>
      <c r="V4" s="925" cm="1">
        <f t="array" ref="V4">INDEX($1:$1048576,$C4,COLUMN())</f>
        <v>1.1017815</v>
      </c>
      <c r="W4" s="925" cm="1">
        <f t="array" ref="W4">INDEX($1:$1048576,$C4,COLUMN())</f>
        <v>0</v>
      </c>
      <c r="X4" s="925" cm="1">
        <f t="array" ref="X4">INDEX($1:$1048576,$C4,COLUMN())</f>
        <v>0.86972704999999995</v>
      </c>
      <c r="Y4" s="925" cm="1">
        <f t="array" ref="Y4">INDEX($1:$1048576,$C4,COLUMN())</f>
        <v>0.28995820999999999</v>
      </c>
      <c r="Z4" s="925" cm="1">
        <f t="array" ref="Z4">INDEX($1:$1048576,$C4,COLUMN())</f>
        <v>0.62836199000000004</v>
      </c>
      <c r="AA4" s="925" cm="1">
        <f t="array" ref="AA4">INDEX($1:$1048576,$C4,COLUMN())</f>
        <v>0.1120796</v>
      </c>
      <c r="AB4" s="925" cm="1">
        <f t="array" ref="AB4">INDEX($1:$1048576,$C4,COLUMN())</f>
        <v>2.7697672</v>
      </c>
      <c r="AC4" s="925" cm="1">
        <f t="array" ref="AC4">INDEX($1:$1048576,$C4,COLUMN())</f>
        <v>4.6316800000000002</v>
      </c>
      <c r="AD4" s="925" cm="1">
        <f t="array" ref="AD4">INDEX($1:$1048576,$C4,COLUMN())</f>
        <v>0</v>
      </c>
      <c r="AE4" s="925" cm="1">
        <f t="array" ref="AE4">INDEX($1:$1048576,$C4,COLUMN())</f>
        <v>1.1664991E-2</v>
      </c>
      <c r="AF4" s="925" cm="1">
        <f t="array" ref="AF4">INDEX($1:$1048576,$C4,COLUMN())</f>
        <v>1.9830483999999999E-2</v>
      </c>
      <c r="AG4" s="925" cm="1">
        <f t="array" ref="AG4">INDEX($1:$1048576,$C4,COLUMN())</f>
        <v>0</v>
      </c>
      <c r="AH4" s="925" cm="1">
        <f t="array" ref="AH4">INDEX($1:$1048576,$C4,COLUMN())</f>
        <v>4.0694498000000003E-2</v>
      </c>
      <c r="AI4" s="925" cm="1">
        <f t="array" ref="AI4">INDEX($1:$1048576,$C4,COLUMN())</f>
        <v>4.7495755000000001E-2</v>
      </c>
      <c r="AJ4" s="925" cm="1">
        <f t="array" ref="AJ4">INDEX($1:$1048576,$C4,COLUMN())</f>
        <v>3.5987559000000002E-2</v>
      </c>
      <c r="AK4" s="925" cm="1">
        <f t="array" ref="AK4">INDEX($1:$1048576,$C4,COLUMN())</f>
        <v>1.9703741E-2</v>
      </c>
      <c r="AL4" s="925" cm="1">
        <f t="array" ref="AL4">INDEX($1:$1048576,$C4,COLUMN())</f>
        <v>1.7875002000000001E-3</v>
      </c>
      <c r="AM4" s="925" cm="1">
        <f t="array" ref="AM4">INDEX($1:$1048576,$C4,COLUMN())</f>
        <v>0</v>
      </c>
      <c r="AN4" s="925" cm="1">
        <f t="array" ref="AN4">INDEX($1:$1048576,$C4,COLUMN())</f>
        <v>0.1120796</v>
      </c>
      <c r="AO4" s="925" cm="1">
        <f t="array" ref="AO4">INDEX($1:$1048576,$C4,COLUMN())</f>
        <v>49.862819999999999</v>
      </c>
      <c r="AP4" s="925" cm="1">
        <f t="array" ref="AP4">INDEX($1:$1048576,$C4,COLUMN())</f>
        <v>19.017469999999999</v>
      </c>
      <c r="AQ4" s="925" cm="1">
        <f t="array" ref="AQ4">INDEX($1:$1048576,$C4,COLUMN())</f>
        <v>419.26762000000002</v>
      </c>
      <c r="AR4" s="925" cm="1">
        <f t="array" ref="AR4">INDEX($1:$1048576,$C4,COLUMN())</f>
        <v>2328.4213</v>
      </c>
      <c r="AS4" s="925" cm="1">
        <f t="array" ref="AS4">INDEX($1:$1048576,$C4,COLUMN())</f>
        <v>5.3151238000000003</v>
      </c>
      <c r="AT4" s="925" cm="1">
        <f t="array" ref="AT4">INDEX($1:$1048576,$C4,COLUMN())</f>
        <v>43.467542000000002</v>
      </c>
      <c r="AU4" s="925" cm="1">
        <f t="array" ref="AU4">INDEX($1:$1048576,$C4,COLUMN())</f>
        <v>6.6762002999999996</v>
      </c>
      <c r="AV4" s="925" cm="1">
        <f t="array" ref="AV4">INDEX($1:$1048576,$C4,COLUMN())</f>
        <v>1.5789483</v>
      </c>
      <c r="AW4" s="925" cm="1">
        <f t="array" ref="AW4">INDEX($1:$1048576,$C4,COLUMN())</f>
        <v>11.952499</v>
      </c>
      <c r="AX4" s="925" cm="1">
        <f t="array" ref="AX4">INDEX($1:$1048576,$C4,COLUMN())</f>
        <v>94.411681999999999</v>
      </c>
      <c r="AY4" s="925" cm="1">
        <f t="array" ref="AY4">INDEX($1:$1048576,$C4,COLUMN())</f>
        <v>3.9641310000000001</v>
      </c>
      <c r="AZ4" s="925" cm="1">
        <f t="array" ref="AZ4">INDEX($1:$1048576,$C4,COLUMN())</f>
        <v>2.8153844000000001</v>
      </c>
      <c r="BA4" s="925" cm="1">
        <f t="array" ref="BA4">INDEX($1:$1048576,$C4,COLUMN())</f>
        <v>8.9965655000000009</v>
      </c>
      <c r="BB4" s="925" cm="1">
        <f t="array" ref="BB4">INDEX($1:$1048576,$C4,COLUMN())</f>
        <v>4.9674886000000003</v>
      </c>
      <c r="BC4" s="925" cm="1">
        <f t="array" ref="BC4">INDEX($1:$1048576,$C4,COLUMN())</f>
        <v>2.7906745000000002</v>
      </c>
      <c r="BD4" s="925" cm="1">
        <f t="array" ref="BD4">INDEX($1:$1048576,$C4,COLUMN())</f>
        <v>33.174447999999998</v>
      </c>
      <c r="BE4" s="925" cm="1">
        <f t="array" ref="BE4">INDEX($1:$1048576,$C4,COLUMN())</f>
        <v>21.694472999999999</v>
      </c>
      <c r="BF4" s="925" cm="1">
        <f t="array" ref="BF4">INDEX($1:$1048576,$C4,COLUMN())</f>
        <v>0.64454557999999995</v>
      </c>
      <c r="BG4" s="925" cm="1">
        <f t="array" ref="BG4">INDEX($1:$1048576,$C4,COLUMN())</f>
        <v>5.0917567999999997</v>
      </c>
      <c r="BH4" s="925" cm="1">
        <f t="array" ref="BH4">INDEX($1:$1048576,$C4,COLUMN())</f>
        <v>0.54378972000000003</v>
      </c>
      <c r="BI4" s="925" cm="1">
        <f t="array" ref="BI4">INDEX($1:$1048576,$C4,COLUMN())</f>
        <v>0.49356214999999998</v>
      </c>
      <c r="BJ4" s="925" cm="1">
        <f t="array" ref="BJ4">INDEX($1:$1048576,$C4,COLUMN())</f>
        <v>2.2985310000000001</v>
      </c>
      <c r="BK4" s="925" cm="1">
        <f t="array" ref="BK4">INDEX($1:$1048576,$C4,COLUMN())</f>
        <v>0.78467224000000002</v>
      </c>
      <c r="BL4" s="925" cm="1">
        <f t="array" ref="BL4">INDEX($1:$1048576,$C4,COLUMN())</f>
        <v>20.098161999999999</v>
      </c>
      <c r="BM4" s="925" cm="1">
        <f t="array" ref="BM4">INDEX($1:$1048576,$C4,COLUMN())</f>
        <v>0.38354432999999999</v>
      </c>
      <c r="BN4" s="925" cm="1">
        <f t="array" ref="BN4">INDEX($1:$1048576,$C4,COLUMN())</f>
        <v>1.2860362999999999</v>
      </c>
      <c r="BO4" s="925" cm="1">
        <f t="array" ref="BO4">INDEX($1:$1048576,$C4,COLUMN())</f>
        <v>4.6199390999999999</v>
      </c>
      <c r="BP4" s="925" cm="1">
        <f t="array" ref="BP4">INDEX($1:$1048576,$C4,COLUMN())</f>
        <v>2.2385139000000001</v>
      </c>
      <c r="BQ4" s="925" cm="1">
        <f t="array" ref="BQ4">INDEX($1:$1048576,$C4,COLUMN())</f>
        <v>0.27398787000000002</v>
      </c>
      <c r="BR4" s="925" cm="1">
        <f t="array" ref="BR4">INDEX($1:$1048576,$C4,COLUMN())</f>
        <v>0.33616061000000003</v>
      </c>
      <c r="BS4" s="925" cm="1">
        <f t="array" ref="BS4">INDEX($1:$1048576,$C4,COLUMN())</f>
        <v>0.13526832999999999</v>
      </c>
      <c r="BT4" s="925" cm="1">
        <f t="array" ref="BT4">INDEX($1:$1048576,$C4,COLUMN())</f>
        <v>0.12038635</v>
      </c>
      <c r="BU4" s="925" cm="1">
        <f t="array" ref="BU4">INDEX($1:$1048576,$C4,COLUMN())</f>
        <v>3.0833729000000001</v>
      </c>
      <c r="BV4" s="925" cm="1">
        <f t="array" ref="BV4">INDEX($1:$1048576,$C4,COLUMN())</f>
        <v>0.23603183999999999</v>
      </c>
      <c r="BW4" s="925" cm="1">
        <f t="array" ref="BW4">INDEX($1:$1048576,$C4,COLUMN())</f>
        <v>3.4277994999999999</v>
      </c>
      <c r="BX4" s="925" cm="1">
        <f t="array" ref="BX4">INDEX($1:$1048576,$C4,COLUMN())</f>
        <v>6.6899984000000003</v>
      </c>
      <c r="BY4" s="925" cm="1">
        <f t="array" ref="BY4">INDEX($1:$1048576,$C4,COLUMN())</f>
        <v>3.4277994999999999</v>
      </c>
      <c r="BZ4" s="925" cm="1">
        <f t="array" ref="BZ4">INDEX($1:$1048576,$C4,COLUMN())</f>
        <v>11.340457000000001</v>
      </c>
      <c r="CA4" s="925" cm="1">
        <f t="array" ref="CA4">INDEX($1:$1048576,$C4,COLUMN())</f>
        <v>8.7725588000000005</v>
      </c>
      <c r="CB4" s="925" cm="1">
        <f t="array" ref="CB4">INDEX($1:$1048576,$C4,COLUMN())</f>
        <v>7.9917385999999997</v>
      </c>
      <c r="CC4" s="925" cm="1">
        <f t="array" ref="CC4">INDEX($1:$1048576,$C4,COLUMN())</f>
        <v>0.16909608000000001</v>
      </c>
      <c r="CD4" s="925" cm="1">
        <f t="array" ref="CD4">INDEX($1:$1048576,$C4,COLUMN())</f>
        <v>65.197160999999994</v>
      </c>
      <c r="CE4" s="925" cm="1">
        <f t="array" ref="CE4">INDEX($1:$1048576,$C4,COLUMN())</f>
        <v>19.490292</v>
      </c>
      <c r="CF4" s="925" cm="1">
        <f t="array" ref="CF4">INDEX($1:$1048576,$C4,COLUMN())</f>
        <v>21.535692000000001</v>
      </c>
      <c r="CG4" s="925" cm="1">
        <f t="array" ref="CG4">INDEX($1:$1048576,$C4,COLUMN())</f>
        <v>13.856147999999999</v>
      </c>
      <c r="CH4" s="925" cm="1">
        <f t="array" ref="CH4">INDEX($1:$1048576,$C4,COLUMN())</f>
        <v>2.1268685999999999</v>
      </c>
      <c r="CI4" s="925" cm="1">
        <f t="array" ref="CI4">INDEX($1:$1048576,$C4,COLUMN())</f>
        <v>2.1377239000000001</v>
      </c>
      <c r="CJ4" s="925" cm="1">
        <f t="array" ref="CJ4">INDEX($1:$1048576,$C4,COLUMN())</f>
        <v>3.7050474000000002</v>
      </c>
      <c r="CK4" s="925" cm="1">
        <f t="array" ref="CK4">INDEX($1:$1048576,$C4,COLUMN())</f>
        <v>0.11010881</v>
      </c>
      <c r="CL4" s="925" cm="1">
        <f t="array" ref="CL4">INDEX($1:$1048576,$C4,COLUMN())</f>
        <v>1.8042921999999999E-3</v>
      </c>
      <c r="CM4" s="925" cm="1">
        <f t="array" ref="CM4">INDEX($1:$1048576,$C4,COLUMN())</f>
        <v>3.4204264E-3</v>
      </c>
      <c r="CN4" s="925" cm="1">
        <f t="array" ref="CN4">INDEX($1:$1048576,$C4,COLUMN())</f>
        <v>1.7360129E-3</v>
      </c>
      <c r="CO4" s="925" cm="1">
        <f t="array" ref="CO4">INDEX($1:$1048576,$C4,COLUMN())</f>
        <v>3.7095795999999999E-3</v>
      </c>
      <c r="CP4" s="925" cm="1">
        <f t="array" ref="CP4">INDEX($1:$1048576,$C4,COLUMN())</f>
        <v>4.6502319999999998E-3</v>
      </c>
      <c r="CQ4" s="925" cm="1">
        <f t="array" ref="CQ4">INDEX($1:$1048576,$C4,COLUMN())</f>
        <v>2.9712593000000001E-3</v>
      </c>
      <c r="CR4" s="925" cm="1">
        <f t="array" ref="CR4">INDEX($1:$1048576,$C4,COLUMN())</f>
        <v>2.0044056000000001E-2</v>
      </c>
      <c r="CS4" s="925" cm="1">
        <f t="array" ref="CS4">INDEX($1:$1048576,$C4,COLUMN())</f>
        <v>8.4480667999999995E-2</v>
      </c>
      <c r="CT4" s="925" cm="1">
        <f t="array" ref="CT4">INDEX($1:$1048576,$C4,COLUMN())</f>
        <v>3.1391339999999999</v>
      </c>
      <c r="CU4" s="925" cm="1">
        <f t="array" ref="CU4">INDEX($1:$1048576,$C4,COLUMN())</f>
        <v>0.56634165000000003</v>
      </c>
      <c r="CV4" s="925" cm="1">
        <f t="array" ref="CV4">INDEX($1:$1048576,$C4,COLUMN())</f>
        <v>6.0640739000000004</v>
      </c>
      <c r="CW4" s="925" cm="1">
        <f t="array" ref="CW4">INDEX($1:$1048576,$C4,COLUMN())</f>
        <v>25.725349999999999</v>
      </c>
      <c r="CX4" s="925" cm="1">
        <f t="array" ref="CX4">INDEX($1:$1048576,$C4,COLUMN())</f>
        <v>0</v>
      </c>
      <c r="CY4" s="925" cm="1">
        <f t="array" ref="CY4">INDEX($1:$1048576,$C4,COLUMN())</f>
        <v>0</v>
      </c>
      <c r="CZ4" s="925" cm="1">
        <f t="array" ref="CZ4">INDEX($1:$1048576,$C4,COLUMN())</f>
        <v>0</v>
      </c>
      <c r="DA4" s="925" cm="1">
        <f t="array" ref="DA4">INDEX($1:$1048576,$C4,COLUMN())</f>
        <v>0</v>
      </c>
      <c r="DB4" s="925" cm="1">
        <f t="array" ref="DB4">INDEX($1:$1048576,$C4,COLUMN())</f>
        <v>0</v>
      </c>
      <c r="DC4" s="3"/>
      <c r="DD4" s="3"/>
      <c r="DE4" s="3"/>
      <c r="DF4" s="3"/>
      <c r="DG4" s="3"/>
      <c r="DH4" s="3"/>
      <c r="DI4" s="3"/>
      <c r="DJ4" s="3"/>
      <c r="DK4" s="3"/>
      <c r="DL4" s="3"/>
      <c r="DM4" s="3"/>
      <c r="DN4" s="3"/>
      <c r="DO4" s="3"/>
      <c r="DP4" s="3"/>
      <c r="DQ4" s="3"/>
    </row>
    <row r="5" spans="1:127">
      <c r="A5" t="s">
        <v>1680</v>
      </c>
      <c r="B5">
        <f>MATCH(A5,D:D,0)</f>
        <v>472</v>
      </c>
      <c r="C5">
        <f>$B5+10</f>
        <v>482</v>
      </c>
      <c r="D5">
        <f>ROW()</f>
        <v>5</v>
      </c>
      <c r="E5" s="925" cm="1">
        <f t="array" ref="E5">INDEX($1:$1048576,$C5,COLUMN())</f>
        <v>15026.188</v>
      </c>
      <c r="F5" s="925" cm="1">
        <f t="array" ref="F5">INDEX($1:$1048576,$C5,COLUMN())</f>
        <v>3040.6156000000001</v>
      </c>
      <c r="G5" s="925" cm="1">
        <f t="array" ref="G5">INDEX($1:$1048576,$C5,COLUMN())</f>
        <v>75918.672999999995</v>
      </c>
      <c r="H5" s="925" cm="1">
        <f t="array" ref="H5">INDEX($1:$1048576,$C5,COLUMN())</f>
        <v>934.12477000000001</v>
      </c>
      <c r="I5" s="925" cm="1">
        <f t="array" ref="I5">INDEX($1:$1048576,$C5,COLUMN())</f>
        <v>177.73539</v>
      </c>
      <c r="J5" s="925" cm="1">
        <f t="array" ref="J5">INDEX($1:$1048576,$C5,COLUMN())</f>
        <v>453.15663000000001</v>
      </c>
      <c r="K5" s="925" cm="1">
        <f t="array" ref="K5">INDEX($1:$1048576,$C5,COLUMN())</f>
        <v>525.49215000000004</v>
      </c>
      <c r="L5" s="925" cm="1">
        <f t="array" ref="L5">INDEX($1:$1048576,$C5,COLUMN())</f>
        <v>274.23944</v>
      </c>
      <c r="M5" s="925" cm="1">
        <f t="array" ref="M5">INDEX($1:$1048576,$C5,COLUMN())</f>
        <v>389.32355999999999</v>
      </c>
      <c r="N5" s="925" cm="1">
        <f t="array" ref="N5">INDEX($1:$1048576,$C5,COLUMN())</f>
        <v>392.02352999999999</v>
      </c>
      <c r="O5" s="925" cm="1">
        <f t="array" ref="O5">INDEX($1:$1048576,$C5,COLUMN())</f>
        <v>25.719937000000002</v>
      </c>
      <c r="P5" s="925" cm="1">
        <f t="array" ref="P5">INDEX($1:$1048576,$C5,COLUMN())</f>
        <v>46.894489</v>
      </c>
      <c r="Q5" s="925" cm="1">
        <f t="array" ref="Q5">INDEX($1:$1048576,$C5,COLUMN())</f>
        <v>242.46781999999999</v>
      </c>
      <c r="R5" s="925" cm="1">
        <f t="array" ref="R5">INDEX($1:$1048576,$C5,COLUMN())</f>
        <v>256.65120999999999</v>
      </c>
      <c r="S5" s="925" cm="1">
        <f t="array" ref="S5">INDEX($1:$1048576,$C5,COLUMN())</f>
        <v>415.48111</v>
      </c>
      <c r="T5" s="925" cm="1">
        <f t="array" ref="T5">INDEX($1:$1048576,$C5,COLUMN())</f>
        <v>164.81960000000001</v>
      </c>
      <c r="U5" s="925" cm="1">
        <f t="array" ref="U5">INDEX($1:$1048576,$C5,COLUMN())</f>
        <v>233.89213000000001</v>
      </c>
      <c r="V5" s="925" cm="1">
        <f t="array" ref="V5">INDEX($1:$1048576,$C5,COLUMN())</f>
        <v>109.65618000000001</v>
      </c>
      <c r="W5" s="925" cm="1">
        <f t="array" ref="W5">INDEX($1:$1048576,$C5,COLUMN())</f>
        <v>0</v>
      </c>
      <c r="X5" s="925" cm="1">
        <f t="array" ref="X5">INDEX($1:$1048576,$C5,COLUMN())</f>
        <v>339.71348999999998</v>
      </c>
      <c r="Y5" s="925" cm="1">
        <f t="array" ref="Y5">INDEX($1:$1048576,$C5,COLUMN())</f>
        <v>95.210719999999995</v>
      </c>
      <c r="Z5" s="925" cm="1">
        <f t="array" ref="Z5">INDEX($1:$1048576,$C5,COLUMN())</f>
        <v>97.144915999999995</v>
      </c>
      <c r="AA5" s="925" cm="1">
        <f t="array" ref="AA5">INDEX($1:$1048576,$C5,COLUMN())</f>
        <v>5.4273455000000004</v>
      </c>
      <c r="AB5" s="925" cm="1">
        <f t="array" ref="AB5">INDEX($1:$1048576,$C5,COLUMN())</f>
        <v>251.44507999999999</v>
      </c>
      <c r="AC5" s="925" cm="1">
        <f t="array" ref="AC5">INDEX($1:$1048576,$C5,COLUMN())</f>
        <v>463.31988000000001</v>
      </c>
      <c r="AD5" s="925" cm="1">
        <f t="array" ref="AD5">INDEX($1:$1048576,$C5,COLUMN())</f>
        <v>859.92828999999995</v>
      </c>
      <c r="AE5" s="925" cm="1">
        <f t="array" ref="AE5">INDEX($1:$1048576,$C5,COLUMN())</f>
        <v>1.2522221</v>
      </c>
      <c r="AF5" s="925" cm="1">
        <f t="array" ref="AF5">INDEX($1:$1048576,$C5,COLUMN())</f>
        <v>1.8277922</v>
      </c>
      <c r="AG5" s="925" cm="1">
        <f t="array" ref="AG5">INDEX($1:$1048576,$C5,COLUMN())</f>
        <v>44.411498000000002</v>
      </c>
      <c r="AH5" s="925" cm="1">
        <f t="array" ref="AH5">INDEX($1:$1048576,$C5,COLUMN())</f>
        <v>65.943900999999997</v>
      </c>
      <c r="AI5" s="925" cm="1">
        <f t="array" ref="AI5">INDEX($1:$1048576,$C5,COLUMN())</f>
        <v>69.515546999999998</v>
      </c>
      <c r="AJ5" s="925" cm="1">
        <f t="array" ref="AJ5">INDEX($1:$1048576,$C5,COLUMN())</f>
        <v>74.941070999999994</v>
      </c>
      <c r="AK5" s="925" cm="1">
        <f t="array" ref="AK5">INDEX($1:$1048576,$C5,COLUMN())</f>
        <v>59.766216999999997</v>
      </c>
      <c r="AL5" s="925" cm="1">
        <f t="array" ref="AL5">INDEX($1:$1048576,$C5,COLUMN())</f>
        <v>56.411200999999998</v>
      </c>
      <c r="AM5" s="925" cm="1">
        <f t="array" ref="AM5">INDEX($1:$1048576,$C5,COLUMN())</f>
        <v>39000</v>
      </c>
      <c r="AN5" s="925" cm="1">
        <f t="array" ref="AN5">INDEX($1:$1048576,$C5,COLUMN())</f>
        <v>5.4273455000000004</v>
      </c>
      <c r="AO5" s="925" cm="1">
        <f t="array" ref="AO5">INDEX($1:$1048576,$C5,COLUMN())</f>
        <v>1168190.8</v>
      </c>
      <c r="AP5" s="925" cm="1">
        <f t="array" ref="AP5">INDEX($1:$1048576,$C5,COLUMN())</f>
        <v>1192349.8999999999</v>
      </c>
      <c r="AQ5" s="925" cm="1">
        <f t="array" ref="AQ5">INDEX($1:$1048576,$C5,COLUMN())</f>
        <v>86913.172000000006</v>
      </c>
      <c r="AR5" s="925" cm="1">
        <f t="array" ref="AR5">INDEX($1:$1048576,$C5,COLUMN())</f>
        <v>1641491.2</v>
      </c>
      <c r="AS5" s="925" cm="1">
        <f t="array" ref="AS5">INDEX($1:$1048576,$C5,COLUMN())</f>
        <v>3905.1736000000001</v>
      </c>
      <c r="AT5" s="925" cm="1">
        <f t="array" ref="AT5">INDEX($1:$1048576,$C5,COLUMN())</f>
        <v>28269.486000000001</v>
      </c>
      <c r="AU5" s="925" cm="1">
        <f t="array" ref="AU5">INDEX($1:$1048576,$C5,COLUMN())</f>
        <v>1975.2331999999999</v>
      </c>
      <c r="AV5" s="925" cm="1">
        <f t="array" ref="AV5">INDEX($1:$1048576,$C5,COLUMN())</f>
        <v>713.00482999999997</v>
      </c>
      <c r="AW5" s="925" cm="1">
        <f t="array" ref="AW5">INDEX($1:$1048576,$C5,COLUMN())</f>
        <v>3197.7555000000002</v>
      </c>
      <c r="AX5" s="925" cm="1">
        <f t="array" ref="AX5">INDEX($1:$1048576,$C5,COLUMN())</f>
        <v>27182.091</v>
      </c>
      <c r="AY5" s="925" cm="1">
        <f t="array" ref="AY5">INDEX($1:$1048576,$C5,COLUMN())</f>
        <v>855.18750999999997</v>
      </c>
      <c r="AZ5" s="925" cm="1">
        <f t="array" ref="AZ5">INDEX($1:$1048576,$C5,COLUMN())</f>
        <v>1096.8227999999999</v>
      </c>
      <c r="BA5" s="925" cm="1">
        <f t="array" ref="BA5">INDEX($1:$1048576,$C5,COLUMN())</f>
        <v>927.86649999999997</v>
      </c>
      <c r="BB5" s="925" cm="1">
        <f t="array" ref="BB5">INDEX($1:$1048576,$C5,COLUMN())</f>
        <v>1516.2409</v>
      </c>
      <c r="BC5" s="925" cm="1">
        <f t="array" ref="BC5">INDEX($1:$1048576,$C5,COLUMN())</f>
        <v>783.06817999999998</v>
      </c>
      <c r="BD5" s="925" cm="1">
        <f t="array" ref="BD5">INDEX($1:$1048576,$C5,COLUMN())</f>
        <v>14466.371999999999</v>
      </c>
      <c r="BE5" s="925" cm="1">
        <f t="array" ref="BE5">INDEX($1:$1048576,$C5,COLUMN())</f>
        <v>9628.0306</v>
      </c>
      <c r="BF5" s="925" cm="1">
        <f t="array" ref="BF5">INDEX($1:$1048576,$C5,COLUMN())</f>
        <v>550.096</v>
      </c>
      <c r="BG5" s="925" cm="1">
        <f t="array" ref="BG5">INDEX($1:$1048576,$C5,COLUMN())</f>
        <v>227.52576999999999</v>
      </c>
      <c r="BH5" s="925" cm="1">
        <f t="array" ref="BH5">INDEX($1:$1048576,$C5,COLUMN())</f>
        <v>317.87313999999998</v>
      </c>
      <c r="BI5" s="925" cm="1">
        <f t="array" ref="BI5">INDEX($1:$1048576,$C5,COLUMN())</f>
        <v>248.45686000000001</v>
      </c>
      <c r="BJ5" s="925" cm="1">
        <f t="array" ref="BJ5">INDEX($1:$1048576,$C5,COLUMN())</f>
        <v>1029.6804999999999</v>
      </c>
      <c r="BK5" s="925" cm="1">
        <f t="array" ref="BK5">INDEX($1:$1048576,$C5,COLUMN())</f>
        <v>798.06155000000001</v>
      </c>
      <c r="BL5" s="925" cm="1">
        <f t="array" ref="BL5">INDEX($1:$1048576,$C5,COLUMN())</f>
        <v>11949.826999999999</v>
      </c>
      <c r="BM5" s="925" cm="1">
        <f t="array" ref="BM5">INDEX($1:$1048576,$C5,COLUMN())</f>
        <v>185.49520999999999</v>
      </c>
      <c r="BN5" s="925" cm="1">
        <f t="array" ref="BN5">INDEX($1:$1048576,$C5,COLUMN())</f>
        <v>316.16967</v>
      </c>
      <c r="BO5" s="925" cm="1">
        <f t="array" ref="BO5">INDEX($1:$1048576,$C5,COLUMN())</f>
        <v>2054.8199</v>
      </c>
      <c r="BP5" s="925" cm="1">
        <f t="array" ref="BP5">INDEX($1:$1048576,$C5,COLUMN())</f>
        <v>2377.8107</v>
      </c>
      <c r="BQ5" s="925" cm="1">
        <f t="array" ref="BQ5">INDEX($1:$1048576,$C5,COLUMN())</f>
        <v>211.78297000000001</v>
      </c>
      <c r="BR5" s="925" cm="1">
        <f t="array" ref="BR5">INDEX($1:$1048576,$C5,COLUMN())</f>
        <v>306.29455000000002</v>
      </c>
      <c r="BS5" s="925" cm="1">
        <f t="array" ref="BS5">INDEX($1:$1048576,$C5,COLUMN())</f>
        <v>120.10393999999999</v>
      </c>
      <c r="BT5" s="925" cm="1">
        <f t="array" ref="BT5">INDEX($1:$1048576,$C5,COLUMN())</f>
        <v>90.234363000000002</v>
      </c>
      <c r="BU5" s="925" cm="1">
        <f t="array" ref="BU5">INDEX($1:$1048576,$C5,COLUMN())</f>
        <v>151.14988</v>
      </c>
      <c r="BV5" s="925" cm="1">
        <f t="array" ref="BV5">INDEX($1:$1048576,$C5,COLUMN())</f>
        <v>55.374447000000004</v>
      </c>
      <c r="BW5" s="925" cm="1">
        <f t="array" ref="BW5">INDEX($1:$1048576,$C5,COLUMN())</f>
        <v>142.27323000000001</v>
      </c>
      <c r="BX5" s="925" cm="1">
        <f t="array" ref="BX5">INDEX($1:$1048576,$C5,COLUMN())</f>
        <v>276.24950000000001</v>
      </c>
      <c r="BY5" s="925" cm="1">
        <f t="array" ref="BY5">INDEX($1:$1048576,$C5,COLUMN())</f>
        <v>142.27323000000001</v>
      </c>
      <c r="BZ5" s="925" cm="1">
        <f t="array" ref="BZ5">INDEX($1:$1048576,$C5,COLUMN())</f>
        <v>3920.6516000000001</v>
      </c>
      <c r="CA5" s="925" cm="1">
        <f t="array" ref="CA5">INDEX($1:$1048576,$C5,COLUMN())</f>
        <v>3401.7422000000001</v>
      </c>
      <c r="CB5" s="925" cm="1">
        <f t="array" ref="CB5">INDEX($1:$1048576,$C5,COLUMN())</f>
        <v>1281.4287999999999</v>
      </c>
      <c r="CC5" s="925" cm="1">
        <f t="array" ref="CC5">INDEX($1:$1048576,$C5,COLUMN())</f>
        <v>45.250048</v>
      </c>
      <c r="CD5" s="925" cm="1">
        <f t="array" ref="CD5">INDEX($1:$1048576,$C5,COLUMN())</f>
        <v>3454.2310000000002</v>
      </c>
      <c r="CE5" s="925" cm="1">
        <f t="array" ref="CE5">INDEX($1:$1048576,$C5,COLUMN())</f>
        <v>1348.2847999999999</v>
      </c>
      <c r="CF5" s="925" cm="1">
        <f t="array" ref="CF5">INDEX($1:$1048576,$C5,COLUMN())</f>
        <v>1292.0724</v>
      </c>
      <c r="CG5" s="925" cm="1">
        <f t="array" ref="CG5">INDEX($1:$1048576,$C5,COLUMN())</f>
        <v>1400.3979999999999</v>
      </c>
      <c r="CH5" s="925" cm="1">
        <f t="array" ref="CH5">INDEX($1:$1048576,$C5,COLUMN())</f>
        <v>76.642319000000001</v>
      </c>
      <c r="CI5" s="925" cm="1">
        <f t="array" ref="CI5">INDEX($1:$1048576,$C5,COLUMN())</f>
        <v>80.761602999999994</v>
      </c>
      <c r="CJ5" s="925" cm="1">
        <f t="array" ref="CJ5">INDEX($1:$1048576,$C5,COLUMN())</f>
        <v>138.24521999999999</v>
      </c>
      <c r="CK5" s="925" cm="1">
        <f t="array" ref="CK5">INDEX($1:$1048576,$C5,COLUMN())</f>
        <v>54.218124000000003</v>
      </c>
      <c r="CL5" s="925" cm="1">
        <f t="array" ref="CL5">INDEX($1:$1048576,$C5,COLUMN())</f>
        <v>7.4856575999999994E-2</v>
      </c>
      <c r="CM5" s="925" cm="1">
        <f t="array" ref="CM5">INDEX($1:$1048576,$C5,COLUMN())</f>
        <v>0.17813954000000001</v>
      </c>
      <c r="CN5" s="925" cm="1">
        <f t="array" ref="CN5">INDEX($1:$1048576,$C5,COLUMN())</f>
        <v>0.11104559</v>
      </c>
      <c r="CO5" s="925" cm="1">
        <f t="array" ref="CO5">INDEX($1:$1048576,$C5,COLUMN())</f>
        <v>0.15420213999999999</v>
      </c>
      <c r="CP5" s="925" cm="1">
        <f t="array" ref="CP5">INDEX($1:$1048576,$C5,COLUMN())</f>
        <v>0.20526536000000001</v>
      </c>
      <c r="CQ5" s="925" cm="1">
        <f t="array" ref="CQ5">INDEX($1:$1048576,$C5,COLUMN())</f>
        <v>0.15521462999999999</v>
      </c>
      <c r="CR5" s="925" cm="1">
        <f t="array" ref="CR5">INDEX($1:$1048576,$C5,COLUMN())</f>
        <v>6.0359978999999999</v>
      </c>
      <c r="CS5" s="925" cm="1">
        <f t="array" ref="CS5">INDEX($1:$1048576,$C5,COLUMN())</f>
        <v>25.440217000000001</v>
      </c>
      <c r="CT5" s="925" cm="1">
        <f t="array" ref="CT5">INDEX($1:$1048576,$C5,COLUMN())</f>
        <v>945.30798000000004</v>
      </c>
      <c r="CU5" s="925" cm="1">
        <f t="array" ref="CU5">INDEX($1:$1048576,$C5,COLUMN())</f>
        <v>107.04373</v>
      </c>
      <c r="CV5" s="925" cm="1">
        <f t="array" ref="CV5">INDEX($1:$1048576,$C5,COLUMN())</f>
        <v>223.62377000000001</v>
      </c>
      <c r="CW5" s="925" cm="1">
        <f t="array" ref="CW5">INDEX($1:$1048576,$C5,COLUMN())</f>
        <v>3357.3582999999999</v>
      </c>
      <c r="CX5" s="925" cm="1">
        <f t="array" ref="CX5">INDEX($1:$1048576,$C5,COLUMN())</f>
        <v>0</v>
      </c>
      <c r="CY5" s="925" cm="1">
        <f t="array" ref="CY5">INDEX($1:$1048576,$C5,COLUMN())</f>
        <v>0</v>
      </c>
      <c r="CZ5" s="925" cm="1">
        <f t="array" ref="CZ5">INDEX($1:$1048576,$C5,COLUMN())</f>
        <v>0</v>
      </c>
      <c r="DA5" s="925" cm="1">
        <f t="array" ref="DA5">INDEX($1:$1048576,$C5,COLUMN())</f>
        <v>0</v>
      </c>
      <c r="DB5" s="925" cm="1">
        <f t="array" ref="DB5">INDEX($1:$1048576,$C5,COLUMN())</f>
        <v>0</v>
      </c>
    </row>
    <row r="7" spans="1:127">
      <c r="C7" s="169"/>
    </row>
    <row r="8" spans="1:127">
      <c r="C8" t="s">
        <v>570</v>
      </c>
      <c r="D8" t="s">
        <v>571</v>
      </c>
    </row>
    <row r="9" spans="1:127" hidden="1" outlineLevel="1">
      <c r="C9" t="s">
        <v>572</v>
      </c>
      <c r="D9" t="s">
        <v>573</v>
      </c>
    </row>
    <row r="10" spans="1:127" hidden="1" outlineLevel="1">
      <c r="C10" t="s">
        <v>574</v>
      </c>
      <c r="D10" t="s">
        <v>2074</v>
      </c>
    </row>
    <row r="11" spans="1:127" hidden="1" outlineLevel="1">
      <c r="C11" t="s">
        <v>575</v>
      </c>
      <c r="D11" t="s">
        <v>2075</v>
      </c>
    </row>
    <row r="12" spans="1:127" hidden="1" outlineLevel="1">
      <c r="C12" t="s">
        <v>576</v>
      </c>
      <c r="D12" t="s">
        <v>2076</v>
      </c>
    </row>
    <row r="13" spans="1:127" hidden="1" outlineLevel="1">
      <c r="C13" t="s">
        <v>577</v>
      </c>
      <c r="D13" t="s">
        <v>2077</v>
      </c>
    </row>
    <row r="14" spans="1:127" hidden="1" outlineLevel="1">
      <c r="C14" t="s">
        <v>578</v>
      </c>
      <c r="D14" t="s">
        <v>1051</v>
      </c>
    </row>
    <row r="15" spans="1:127" hidden="1" outlineLevel="1">
      <c r="C15" t="s">
        <v>579</v>
      </c>
      <c r="D15" t="s">
        <v>1052</v>
      </c>
    </row>
    <row r="16" spans="1:127" hidden="1" outlineLevel="1">
      <c r="C16" t="s">
        <v>580</v>
      </c>
      <c r="D16" t="s">
        <v>1054</v>
      </c>
    </row>
    <row r="17" spans="3:4" hidden="1" outlineLevel="1">
      <c r="C17" t="s">
        <v>581</v>
      </c>
      <c r="D17" t="s">
        <v>1053</v>
      </c>
    </row>
    <row r="18" spans="3:4" hidden="1" outlineLevel="1">
      <c r="C18" t="s">
        <v>582</v>
      </c>
      <c r="D18" t="s">
        <v>1798</v>
      </c>
    </row>
    <row r="19" spans="3:4" hidden="1" outlineLevel="1">
      <c r="C19" t="s">
        <v>583</v>
      </c>
      <c r="D19" t="s">
        <v>2078</v>
      </c>
    </row>
    <row r="20" spans="3:4" hidden="1" outlineLevel="1">
      <c r="C20" t="s">
        <v>584</v>
      </c>
      <c r="D20" t="s">
        <v>2079</v>
      </c>
    </row>
    <row r="21" spans="3:4" hidden="1" outlineLevel="1">
      <c r="C21" t="s">
        <v>585</v>
      </c>
      <c r="D21" t="s">
        <v>2080</v>
      </c>
    </row>
    <row r="22" spans="3:4" hidden="1" outlineLevel="1">
      <c r="C22" t="s">
        <v>586</v>
      </c>
      <c r="D22" t="s">
        <v>2081</v>
      </c>
    </row>
    <row r="23" spans="3:4" hidden="1" outlineLevel="1">
      <c r="C23" t="s">
        <v>587</v>
      </c>
      <c r="D23" t="s">
        <v>608</v>
      </c>
    </row>
    <row r="24" spans="3:4" hidden="1" outlineLevel="1">
      <c r="C24" t="s">
        <v>588</v>
      </c>
      <c r="D24" t="s">
        <v>2082</v>
      </c>
    </row>
    <row r="25" spans="3:4" hidden="1" outlineLevel="1">
      <c r="C25" t="s">
        <v>589</v>
      </c>
      <c r="D25" t="s">
        <v>2083</v>
      </c>
    </row>
    <row r="26" spans="3:4" hidden="1" outlineLevel="1">
      <c r="C26" t="s">
        <v>590</v>
      </c>
      <c r="D26" t="s">
        <v>2084</v>
      </c>
    </row>
    <row r="27" spans="3:4" hidden="1" outlineLevel="1">
      <c r="C27" t="s">
        <v>591</v>
      </c>
      <c r="D27" t="s">
        <v>2085</v>
      </c>
    </row>
    <row r="28" spans="3:4" hidden="1" outlineLevel="1">
      <c r="C28" t="s">
        <v>592</v>
      </c>
      <c r="D28" t="s">
        <v>2086</v>
      </c>
    </row>
    <row r="29" spans="3:4" hidden="1" outlineLevel="1">
      <c r="C29" t="s">
        <v>593</v>
      </c>
      <c r="D29" t="s">
        <v>2087</v>
      </c>
    </row>
    <row r="30" spans="3:4" hidden="1" outlineLevel="1">
      <c r="C30" t="s">
        <v>620</v>
      </c>
      <c r="D30" t="s">
        <v>2088</v>
      </c>
    </row>
    <row r="31" spans="3:4" hidden="1" outlineLevel="1">
      <c r="C31" t="s">
        <v>622</v>
      </c>
      <c r="D31" t="s">
        <v>2089</v>
      </c>
    </row>
    <row r="32" spans="3:4" hidden="1" outlineLevel="1">
      <c r="C32" t="s">
        <v>623</v>
      </c>
      <c r="D32" t="s">
        <v>618</v>
      </c>
    </row>
    <row r="33" spans="3:4" hidden="1" outlineLevel="1">
      <c r="C33" t="s">
        <v>625</v>
      </c>
      <c r="D33" t="s">
        <v>2090</v>
      </c>
    </row>
    <row r="34" spans="3:4" hidden="1" outlineLevel="1">
      <c r="C34" t="s">
        <v>917</v>
      </c>
      <c r="D34" t="s">
        <v>2091</v>
      </c>
    </row>
    <row r="35" spans="3:4" hidden="1" outlineLevel="1">
      <c r="C35" t="s">
        <v>950</v>
      </c>
      <c r="D35" t="s">
        <v>611</v>
      </c>
    </row>
    <row r="36" spans="3:4" hidden="1" outlineLevel="1">
      <c r="C36" t="s">
        <v>972</v>
      </c>
      <c r="D36" t="s">
        <v>612</v>
      </c>
    </row>
    <row r="37" spans="3:4" hidden="1" outlineLevel="1">
      <c r="C37" t="s">
        <v>1129</v>
      </c>
      <c r="D37" t="s">
        <v>1187</v>
      </c>
    </row>
    <row r="38" spans="3:4" hidden="1" outlineLevel="1">
      <c r="C38" t="s">
        <v>1647</v>
      </c>
      <c r="D38" t="s">
        <v>1715</v>
      </c>
    </row>
    <row r="39" spans="3:4" hidden="1" outlineLevel="1">
      <c r="C39" t="s">
        <v>1648</v>
      </c>
      <c r="D39" t="s">
        <v>613</v>
      </c>
    </row>
    <row r="40" spans="3:4" hidden="1" outlineLevel="1">
      <c r="C40" t="s">
        <v>1718</v>
      </c>
      <c r="D40" t="s">
        <v>614</v>
      </c>
    </row>
    <row r="41" spans="3:4" hidden="1" outlineLevel="1">
      <c r="C41" t="s">
        <v>1753</v>
      </c>
      <c r="D41" t="s">
        <v>615</v>
      </c>
    </row>
    <row r="42" spans="3:4" hidden="1" outlineLevel="1">
      <c r="C42" t="s">
        <v>1754</v>
      </c>
      <c r="D42" t="s">
        <v>616</v>
      </c>
    </row>
    <row r="43" spans="3:4" hidden="1" outlineLevel="1">
      <c r="C43" t="s">
        <v>1755</v>
      </c>
      <c r="D43" t="s">
        <v>1717</v>
      </c>
    </row>
    <row r="44" spans="3:4" hidden="1" outlineLevel="1">
      <c r="C44" t="s">
        <v>1756</v>
      </c>
      <c r="D44" t="s">
        <v>835</v>
      </c>
    </row>
    <row r="45" spans="3:4" hidden="1" outlineLevel="1">
      <c r="C45" t="s">
        <v>1757</v>
      </c>
      <c r="D45" t="s">
        <v>618</v>
      </c>
    </row>
    <row r="46" spans="3:4" hidden="1" outlineLevel="1">
      <c r="C46" t="s">
        <v>1758</v>
      </c>
      <c r="D46" t="s">
        <v>619</v>
      </c>
    </row>
    <row r="47" spans="3:4" hidden="1" outlineLevel="1">
      <c r="C47" t="s">
        <v>1759</v>
      </c>
      <c r="D47" t="s">
        <v>621</v>
      </c>
    </row>
    <row r="48" spans="3:4" hidden="1" outlineLevel="1">
      <c r="C48" t="s">
        <v>1806</v>
      </c>
      <c r="D48" t="s">
        <v>2092</v>
      </c>
    </row>
    <row r="49" spans="3:4" hidden="1" outlineLevel="1">
      <c r="C49" t="s">
        <v>1893</v>
      </c>
      <c r="D49" t="s">
        <v>624</v>
      </c>
    </row>
    <row r="50" spans="3:4" hidden="1" outlineLevel="1">
      <c r="C50" t="s">
        <v>1894</v>
      </c>
      <c r="D50" t="s">
        <v>2093</v>
      </c>
    </row>
    <row r="51" spans="3:4" hidden="1" outlineLevel="1">
      <c r="C51" t="s">
        <v>1895</v>
      </c>
      <c r="D51" t="s">
        <v>951</v>
      </c>
    </row>
    <row r="52" spans="3:4" hidden="1" outlineLevel="1">
      <c r="C52" t="s">
        <v>1896</v>
      </c>
      <c r="D52" t="s">
        <v>1681</v>
      </c>
    </row>
    <row r="53" spans="3:4" hidden="1" outlineLevel="1">
      <c r="C53" t="s">
        <v>1897</v>
      </c>
      <c r="D53" t="s">
        <v>2094</v>
      </c>
    </row>
    <row r="54" spans="3:4" hidden="1" outlineLevel="1">
      <c r="C54" t="s">
        <v>1898</v>
      </c>
      <c r="D54" t="s">
        <v>2095</v>
      </c>
    </row>
    <row r="55" spans="3:4" hidden="1" outlineLevel="1">
      <c r="C55" t="s">
        <v>1899</v>
      </c>
      <c r="D55" t="s">
        <v>2096</v>
      </c>
    </row>
    <row r="56" spans="3:4" hidden="1" outlineLevel="1">
      <c r="C56" t="s">
        <v>1900</v>
      </c>
      <c r="D56" t="s">
        <v>2097</v>
      </c>
    </row>
    <row r="57" spans="3:4" hidden="1" outlineLevel="1">
      <c r="C57" t="s">
        <v>1901</v>
      </c>
      <c r="D57" t="s">
        <v>2098</v>
      </c>
    </row>
    <row r="58" spans="3:4" hidden="1" outlineLevel="1">
      <c r="C58" t="s">
        <v>1902</v>
      </c>
      <c r="D58" t="s">
        <v>2099</v>
      </c>
    </row>
    <row r="59" spans="3:4" hidden="1" outlineLevel="1">
      <c r="C59" t="s">
        <v>1903</v>
      </c>
      <c r="D59" t="s">
        <v>2100</v>
      </c>
    </row>
    <row r="60" spans="3:4" hidden="1" outlineLevel="1">
      <c r="C60" t="s">
        <v>1904</v>
      </c>
      <c r="D60" t="s">
        <v>2101</v>
      </c>
    </row>
    <row r="61" spans="3:4" hidden="1" outlineLevel="1">
      <c r="C61" t="s">
        <v>1905</v>
      </c>
      <c r="D61" t="s">
        <v>2102</v>
      </c>
    </row>
    <row r="62" spans="3:4" hidden="1" outlineLevel="1">
      <c r="C62" t="s">
        <v>1906</v>
      </c>
      <c r="D62" t="s">
        <v>2103</v>
      </c>
    </row>
    <row r="63" spans="3:4" hidden="1" outlineLevel="1">
      <c r="C63" t="s">
        <v>1907</v>
      </c>
      <c r="D63" t="s">
        <v>2104</v>
      </c>
    </row>
    <row r="64" spans="3:4" hidden="1" outlineLevel="1">
      <c r="C64" t="s">
        <v>1908</v>
      </c>
      <c r="D64" t="s">
        <v>2105</v>
      </c>
    </row>
    <row r="65" spans="3:4" hidden="1" outlineLevel="1">
      <c r="C65" t="s">
        <v>1909</v>
      </c>
      <c r="D65" t="s">
        <v>2106</v>
      </c>
    </row>
    <row r="66" spans="3:4" hidden="1" outlineLevel="1">
      <c r="C66" t="s">
        <v>1910</v>
      </c>
      <c r="D66" t="s">
        <v>2107</v>
      </c>
    </row>
    <row r="67" spans="3:4" hidden="1" outlineLevel="1">
      <c r="C67" t="s">
        <v>1911</v>
      </c>
      <c r="D67" t="s">
        <v>2108</v>
      </c>
    </row>
    <row r="68" spans="3:4" hidden="1" outlineLevel="1">
      <c r="C68" t="s">
        <v>1912</v>
      </c>
      <c r="D68" t="s">
        <v>2109</v>
      </c>
    </row>
    <row r="69" spans="3:4" hidden="1" outlineLevel="1">
      <c r="C69" t="s">
        <v>1913</v>
      </c>
      <c r="D69" t="s">
        <v>2110</v>
      </c>
    </row>
    <row r="70" spans="3:4" hidden="1" outlineLevel="1">
      <c r="C70" t="s">
        <v>1914</v>
      </c>
      <c r="D70" t="s">
        <v>2111</v>
      </c>
    </row>
    <row r="71" spans="3:4" hidden="1" outlineLevel="1">
      <c r="C71" t="s">
        <v>1915</v>
      </c>
      <c r="D71" t="s">
        <v>2112</v>
      </c>
    </row>
    <row r="72" spans="3:4" hidden="1" outlineLevel="1">
      <c r="C72" t="s">
        <v>1916</v>
      </c>
      <c r="D72" t="s">
        <v>2113</v>
      </c>
    </row>
    <row r="73" spans="3:4" hidden="1" outlineLevel="1">
      <c r="C73" t="s">
        <v>1917</v>
      </c>
      <c r="D73" t="s">
        <v>2114</v>
      </c>
    </row>
    <row r="74" spans="3:4" hidden="1" outlineLevel="1">
      <c r="C74" t="s">
        <v>1918</v>
      </c>
      <c r="D74" t="s">
        <v>2115</v>
      </c>
    </row>
    <row r="75" spans="3:4" hidden="1" outlineLevel="1">
      <c r="C75" t="s">
        <v>1919</v>
      </c>
      <c r="D75" t="s">
        <v>719</v>
      </c>
    </row>
    <row r="76" spans="3:4" hidden="1" outlineLevel="1">
      <c r="C76" t="s">
        <v>1920</v>
      </c>
      <c r="D76" t="s">
        <v>2116</v>
      </c>
    </row>
    <row r="77" spans="3:4" hidden="1" outlineLevel="1">
      <c r="C77" t="s">
        <v>1921</v>
      </c>
      <c r="D77" t="s">
        <v>2117</v>
      </c>
    </row>
    <row r="78" spans="3:4" hidden="1" outlineLevel="1">
      <c r="C78" t="s">
        <v>1922</v>
      </c>
      <c r="D78" t="s">
        <v>2118</v>
      </c>
    </row>
    <row r="79" spans="3:4" hidden="1" outlineLevel="1">
      <c r="C79" t="s">
        <v>1923</v>
      </c>
      <c r="D79" t="s">
        <v>2119</v>
      </c>
    </row>
    <row r="80" spans="3:4" hidden="1" outlineLevel="1">
      <c r="C80" t="s">
        <v>1924</v>
      </c>
      <c r="D80" t="s">
        <v>1093</v>
      </c>
    </row>
    <row r="81" spans="3:4" hidden="1" outlineLevel="1">
      <c r="C81" t="s">
        <v>1925</v>
      </c>
      <c r="D81" t="s">
        <v>1092</v>
      </c>
    </row>
    <row r="82" spans="3:4" hidden="1" outlineLevel="1">
      <c r="C82" t="s">
        <v>1926</v>
      </c>
      <c r="D82" t="s">
        <v>1093</v>
      </c>
    </row>
    <row r="83" spans="3:4" hidden="1" outlineLevel="1">
      <c r="C83" t="s">
        <v>1927</v>
      </c>
      <c r="D83" t="s">
        <v>2120</v>
      </c>
    </row>
    <row r="84" spans="3:4" hidden="1" outlineLevel="1">
      <c r="C84" t="s">
        <v>1928</v>
      </c>
      <c r="D84" t="s">
        <v>1095</v>
      </c>
    </row>
    <row r="85" spans="3:4" hidden="1" outlineLevel="1">
      <c r="C85" t="s">
        <v>1929</v>
      </c>
      <c r="D85" t="s">
        <v>1096</v>
      </c>
    </row>
    <row r="86" spans="3:4" hidden="1" outlineLevel="1">
      <c r="C86" t="s">
        <v>1930</v>
      </c>
      <c r="D86" t="s">
        <v>2121</v>
      </c>
    </row>
    <row r="87" spans="3:4" hidden="1" outlineLevel="1">
      <c r="C87" t="s">
        <v>1931</v>
      </c>
      <c r="D87" t="s">
        <v>2122</v>
      </c>
    </row>
    <row r="88" spans="3:4" hidden="1" outlineLevel="1">
      <c r="C88" t="s">
        <v>1932</v>
      </c>
      <c r="D88" t="s">
        <v>2123</v>
      </c>
    </row>
    <row r="89" spans="3:4" hidden="1" outlineLevel="1">
      <c r="C89" t="s">
        <v>1933</v>
      </c>
      <c r="D89" t="s">
        <v>2124</v>
      </c>
    </row>
    <row r="90" spans="3:4" hidden="1" outlineLevel="1">
      <c r="C90" t="s">
        <v>1934</v>
      </c>
      <c r="D90" t="s">
        <v>2125</v>
      </c>
    </row>
    <row r="91" spans="3:4" hidden="1" outlineLevel="1">
      <c r="C91" t="s">
        <v>1935</v>
      </c>
      <c r="D91" t="s">
        <v>604</v>
      </c>
    </row>
    <row r="92" spans="3:4" hidden="1" outlineLevel="1">
      <c r="C92" t="s">
        <v>1936</v>
      </c>
      <c r="D92" t="s">
        <v>2126</v>
      </c>
    </row>
    <row r="93" spans="3:4" hidden="1" outlineLevel="1">
      <c r="C93" t="s">
        <v>1937</v>
      </c>
      <c r="D93" t="s">
        <v>2127</v>
      </c>
    </row>
    <row r="94" spans="3:4" hidden="1" outlineLevel="1">
      <c r="C94" t="s">
        <v>1938</v>
      </c>
      <c r="D94" t="s">
        <v>2128</v>
      </c>
    </row>
    <row r="95" spans="3:4" hidden="1" outlineLevel="1">
      <c r="C95" t="s">
        <v>1939</v>
      </c>
      <c r="D95" t="s">
        <v>2129</v>
      </c>
    </row>
    <row r="96" spans="3:4" hidden="1" outlineLevel="1">
      <c r="C96" t="s">
        <v>1940</v>
      </c>
      <c r="D96" t="s">
        <v>2130</v>
      </c>
    </row>
    <row r="97" spans="3:92" hidden="1" outlineLevel="1">
      <c r="C97" t="s">
        <v>1941</v>
      </c>
      <c r="D97" t="s">
        <v>2131</v>
      </c>
    </row>
    <row r="98" spans="3:92" hidden="1" outlineLevel="1">
      <c r="C98" t="s">
        <v>1942</v>
      </c>
      <c r="D98" t="s">
        <v>2132</v>
      </c>
    </row>
    <row r="99" spans="3:92" hidden="1" outlineLevel="1">
      <c r="C99" t="s">
        <v>1952</v>
      </c>
      <c r="D99" t="s">
        <v>2133</v>
      </c>
    </row>
    <row r="100" spans="3:92" hidden="1" outlineLevel="1">
      <c r="C100" t="s">
        <v>1953</v>
      </c>
      <c r="D100" t="s">
        <v>2134</v>
      </c>
    </row>
    <row r="101" spans="3:92" hidden="1" outlineLevel="1">
      <c r="C101" t="s">
        <v>1954</v>
      </c>
      <c r="D101" t="s">
        <v>2135</v>
      </c>
    </row>
    <row r="102" spans="3:92" hidden="1" outlineLevel="1">
      <c r="C102" t="s">
        <v>1955</v>
      </c>
      <c r="D102" t="s">
        <v>2136</v>
      </c>
    </row>
    <row r="103" spans="3:92" hidden="1" outlineLevel="1">
      <c r="C103" t="s">
        <v>1956</v>
      </c>
      <c r="D103" t="s">
        <v>2137</v>
      </c>
    </row>
    <row r="104" spans="3:92" hidden="1" outlineLevel="1">
      <c r="C104" t="s">
        <v>1957</v>
      </c>
      <c r="D104" t="s">
        <v>2138</v>
      </c>
    </row>
    <row r="105" spans="3:92" hidden="1" outlineLevel="1">
      <c r="C105" t="s">
        <v>1958</v>
      </c>
      <c r="D105" t="s">
        <v>2139</v>
      </c>
    </row>
    <row r="106" spans="3:92" hidden="1" outlineLevel="1">
      <c r="C106" t="s">
        <v>1959</v>
      </c>
      <c r="D106" t="s">
        <v>2140</v>
      </c>
    </row>
    <row r="107" spans="3:92" collapsed="1">
      <c r="C107" t="s">
        <v>523</v>
      </c>
      <c r="D107" t="s">
        <v>919</v>
      </c>
      <c r="T107" s="4"/>
      <c r="BZ107" s="4"/>
      <c r="CA107" s="4"/>
      <c r="CB107" s="4"/>
      <c r="CC107" s="4"/>
      <c r="CD107" s="4"/>
      <c r="CJ107" s="4"/>
      <c r="CK107" s="4"/>
      <c r="CL107" s="4"/>
      <c r="CM107" s="4"/>
      <c r="CN107" s="4"/>
    </row>
    <row r="108" spans="3:92">
      <c r="C108" t="s">
        <v>524</v>
      </c>
      <c r="D108" t="s">
        <v>525</v>
      </c>
      <c r="T108" s="4"/>
      <c r="U108" s="4"/>
      <c r="BJ108" s="4"/>
      <c r="BZ108" s="4"/>
      <c r="CA108" s="4"/>
      <c r="CB108" s="4"/>
      <c r="CC108" s="4"/>
      <c r="CD108" s="4"/>
      <c r="CJ108" s="4"/>
      <c r="CK108" s="4"/>
      <c r="CL108" s="4"/>
      <c r="CM108" s="4"/>
      <c r="CN108" s="4"/>
    </row>
    <row r="109" spans="3:92">
      <c r="C109" t="s">
        <v>526</v>
      </c>
      <c r="D109" t="s">
        <v>657</v>
      </c>
      <c r="T109" s="4"/>
      <c r="U109" s="4"/>
      <c r="AC109" s="4"/>
      <c r="BZ109" s="4"/>
      <c r="CA109" s="4"/>
      <c r="CB109" s="4"/>
      <c r="CC109" s="4"/>
      <c r="CD109" s="4"/>
      <c r="CE109" s="4"/>
      <c r="CJ109" s="4"/>
      <c r="CK109" s="4"/>
      <c r="CL109" s="4"/>
      <c r="CM109" s="4"/>
      <c r="CN109" s="4"/>
    </row>
    <row r="110" spans="3:92">
      <c r="C110" t="s">
        <v>923</v>
      </c>
      <c r="D110" t="s">
        <v>530</v>
      </c>
      <c r="T110" s="4"/>
      <c r="U110" s="4"/>
      <c r="Y110" s="4"/>
      <c r="Z110" s="4"/>
      <c r="AA110" s="4"/>
      <c r="AC110" s="4"/>
      <c r="BZ110" s="4"/>
      <c r="CA110" s="4"/>
      <c r="CB110" s="4"/>
      <c r="CC110" s="4"/>
      <c r="CD110" s="4"/>
      <c r="CE110" s="4"/>
      <c r="CJ110" s="4"/>
      <c r="CK110" s="4"/>
      <c r="CL110" s="4"/>
      <c r="CM110" s="4"/>
      <c r="CN110" s="4"/>
    </row>
    <row r="111" spans="3:92">
      <c r="C111" t="s">
        <v>527</v>
      </c>
      <c r="D111" t="s">
        <v>528</v>
      </c>
    </row>
    <row r="112" spans="3:92">
      <c r="C112" t="s">
        <v>529</v>
      </c>
      <c r="D112" t="s">
        <v>530</v>
      </c>
    </row>
    <row r="113" spans="3:103">
      <c r="C113" t="s">
        <v>531</v>
      </c>
      <c r="D113" t="s">
        <v>528</v>
      </c>
    </row>
    <row r="114" spans="3:103">
      <c r="C114" t="s">
        <v>596</v>
      </c>
      <c r="D114" t="s">
        <v>532</v>
      </c>
    </row>
    <row r="115" spans="3:103">
      <c r="C115" t="s">
        <v>597</v>
      </c>
      <c r="D115" t="s">
        <v>598</v>
      </c>
      <c r="AB115" s="4"/>
      <c r="CH115" s="4"/>
      <c r="CI115" s="4"/>
      <c r="CJ115" s="4"/>
      <c r="CK115" s="4"/>
      <c r="CL115" s="4"/>
      <c r="CR115" s="4"/>
      <c r="CS115" s="4"/>
      <c r="CT115" s="4"/>
      <c r="CU115" s="4"/>
      <c r="CV115" s="4"/>
    </row>
    <row r="116" spans="3:103">
      <c r="AB116" s="4"/>
      <c r="AC116" s="4"/>
      <c r="BR116" s="4"/>
      <c r="CH116" s="4"/>
      <c r="CI116" s="4"/>
      <c r="CJ116" s="4"/>
      <c r="CK116" s="4"/>
      <c r="CL116" s="4"/>
      <c r="CR116" s="4"/>
      <c r="CS116" s="4"/>
      <c r="CT116" s="4"/>
      <c r="CU116" s="4"/>
      <c r="CV116" s="4"/>
    </row>
    <row r="117" spans="3:103">
      <c r="C117" t="s">
        <v>532</v>
      </c>
      <c r="D117" t="s">
        <v>533</v>
      </c>
      <c r="E117" t="s">
        <v>929</v>
      </c>
      <c r="F117" t="s">
        <v>10</v>
      </c>
      <c r="G117" t="s">
        <v>930</v>
      </c>
      <c r="H117" t="s">
        <v>1961</v>
      </c>
      <c r="I117" t="s">
        <v>1055</v>
      </c>
      <c r="J117" t="s">
        <v>1056</v>
      </c>
      <c r="K117" t="s">
        <v>1058</v>
      </c>
      <c r="L117" t="s">
        <v>1057</v>
      </c>
      <c r="M117" t="s">
        <v>1784</v>
      </c>
      <c r="N117" t="s">
        <v>2141</v>
      </c>
      <c r="O117" t="s">
        <v>1951</v>
      </c>
      <c r="P117" t="s">
        <v>2061</v>
      </c>
      <c r="Q117" t="s">
        <v>1947</v>
      </c>
      <c r="R117" t="s">
        <v>293</v>
      </c>
      <c r="S117" t="s">
        <v>1813</v>
      </c>
      <c r="T117" t="s">
        <v>3</v>
      </c>
      <c r="U117" t="s">
        <v>2063</v>
      </c>
      <c r="V117" t="s">
        <v>2062</v>
      </c>
      <c r="W117" t="s">
        <v>1948</v>
      </c>
      <c r="X117" s="4" t="s">
        <v>1960</v>
      </c>
      <c r="Y117" t="s">
        <v>1950</v>
      </c>
      <c r="Z117" t="s">
        <v>1949</v>
      </c>
      <c r="AA117" t="s">
        <v>9</v>
      </c>
      <c r="AB117" s="4" t="s">
        <v>1964</v>
      </c>
      <c r="AC117" s="4" t="s">
        <v>295</v>
      </c>
      <c r="AD117" t="s">
        <v>7</v>
      </c>
      <c r="AE117" t="s">
        <v>8</v>
      </c>
      <c r="AF117" t="s">
        <v>1188</v>
      </c>
      <c r="AG117" t="s">
        <v>1716</v>
      </c>
      <c r="AH117" t="s">
        <v>6</v>
      </c>
      <c r="AI117" t="s">
        <v>296</v>
      </c>
      <c r="AJ117" t="s">
        <v>297</v>
      </c>
      <c r="AK117" s="4" t="s">
        <v>366</v>
      </c>
      <c r="AL117" t="s">
        <v>1719</v>
      </c>
      <c r="AM117" t="s">
        <v>846</v>
      </c>
      <c r="AN117" t="s">
        <v>9</v>
      </c>
      <c r="AO117" t="s">
        <v>303</v>
      </c>
      <c r="AP117" t="s">
        <v>304</v>
      </c>
      <c r="AQ117" t="s">
        <v>976</v>
      </c>
      <c r="AR117" t="s">
        <v>370</v>
      </c>
      <c r="AS117" t="s">
        <v>365</v>
      </c>
      <c r="AT117" t="s">
        <v>952</v>
      </c>
      <c r="AU117" t="s">
        <v>1661</v>
      </c>
      <c r="AV117" t="s">
        <v>1760</v>
      </c>
      <c r="AW117" t="s">
        <v>1761</v>
      </c>
      <c r="AX117" t="s">
        <v>1762</v>
      </c>
      <c r="AY117" t="s">
        <v>1763</v>
      </c>
      <c r="AZ117" t="s">
        <v>1764</v>
      </c>
      <c r="BA117" t="s">
        <v>1765</v>
      </c>
      <c r="BB117" t="s">
        <v>1766</v>
      </c>
      <c r="BC117" t="s">
        <v>1767</v>
      </c>
      <c r="BD117" t="s">
        <v>1809</v>
      </c>
      <c r="BE117" t="s">
        <v>1943</v>
      </c>
      <c r="BF117" t="s">
        <v>1037</v>
      </c>
      <c r="BG117" t="s">
        <v>748</v>
      </c>
      <c r="BH117" t="s">
        <v>1039</v>
      </c>
      <c r="BI117" t="s">
        <v>1040</v>
      </c>
      <c r="BJ117" t="s">
        <v>1807</v>
      </c>
      <c r="BK117" t="s">
        <v>1808</v>
      </c>
      <c r="BL117" t="s">
        <v>749</v>
      </c>
      <c r="BM117" t="s">
        <v>1041</v>
      </c>
      <c r="BN117" t="s">
        <v>750</v>
      </c>
      <c r="BO117" t="s">
        <v>1944</v>
      </c>
      <c r="BP117" t="s">
        <v>1043</v>
      </c>
      <c r="BQ117" t="s">
        <v>1042</v>
      </c>
      <c r="BR117" t="s">
        <v>720</v>
      </c>
      <c r="BS117" t="s">
        <v>1044</v>
      </c>
      <c r="BT117" t="s">
        <v>1045</v>
      </c>
      <c r="BU117" t="s">
        <v>752</v>
      </c>
      <c r="BV117" t="s">
        <v>753</v>
      </c>
      <c r="BW117" t="s">
        <v>1098</v>
      </c>
      <c r="BX117" t="s">
        <v>1097</v>
      </c>
      <c r="BY117" t="s">
        <v>1098</v>
      </c>
      <c r="BZ117" t="s">
        <v>1099</v>
      </c>
      <c r="CA117" t="s">
        <v>1100</v>
      </c>
      <c r="CB117" t="s">
        <v>1101</v>
      </c>
      <c r="CC117" t="s">
        <v>942</v>
      </c>
      <c r="CD117" t="s">
        <v>1649</v>
      </c>
      <c r="CE117" t="s">
        <v>1650</v>
      </c>
      <c r="CF117" t="s">
        <v>1651</v>
      </c>
      <c r="CG117" t="s">
        <v>1652</v>
      </c>
      <c r="CH117" s="4" t="s">
        <v>59</v>
      </c>
      <c r="CI117" s="4" t="s">
        <v>60</v>
      </c>
      <c r="CJ117" s="4" t="s">
        <v>61</v>
      </c>
      <c r="CK117" s="4" t="s">
        <v>62</v>
      </c>
      <c r="CL117" s="4" t="s">
        <v>63</v>
      </c>
      <c r="CM117" s="4" t="s">
        <v>871</v>
      </c>
      <c r="CN117" s="4" t="s">
        <v>977</v>
      </c>
      <c r="CO117" t="s">
        <v>1786</v>
      </c>
      <c r="CP117" t="s">
        <v>934</v>
      </c>
      <c r="CQ117" t="s">
        <v>2071</v>
      </c>
      <c r="CR117" s="4" t="s">
        <v>284</v>
      </c>
      <c r="CS117" s="4" t="s">
        <v>283</v>
      </c>
      <c r="CT117" s="4" t="s">
        <v>64</v>
      </c>
      <c r="CU117" s="4" t="s">
        <v>285</v>
      </c>
      <c r="CV117" s="4" t="s">
        <v>362</v>
      </c>
      <c r="CW117" s="4" t="s">
        <v>1660</v>
      </c>
      <c r="CX117" s="4"/>
    </row>
    <row r="118" spans="3:103">
      <c r="C118" t="s">
        <v>35</v>
      </c>
      <c r="D118" t="s">
        <v>2</v>
      </c>
      <c r="E118">
        <v>1.1202814999999999</v>
      </c>
      <c r="F118">
        <v>0.22316032999999999</v>
      </c>
      <c r="G118">
        <v>3.8709558999999998</v>
      </c>
      <c r="H118">
        <v>2.6856211000000001E-2</v>
      </c>
      <c r="I118">
        <v>7.7551724000000004E-3</v>
      </c>
      <c r="J118">
        <v>2.179062E-2</v>
      </c>
      <c r="K118">
        <v>3.0534234E-2</v>
      </c>
      <c r="L118">
        <v>1.7094893999999999E-2</v>
      </c>
      <c r="M118">
        <v>2.9890849000000001E-2</v>
      </c>
      <c r="N118">
        <v>2.8508487999999998E-2</v>
      </c>
      <c r="O118">
        <v>1.1786945E-3</v>
      </c>
      <c r="P118">
        <v>2.4904208E-3</v>
      </c>
      <c r="Q118">
        <v>2.3107165999999998E-2</v>
      </c>
      <c r="R118">
        <v>2.4387327E-2</v>
      </c>
      <c r="S118">
        <v>3.1423139000000003E-2</v>
      </c>
      <c r="T118">
        <v>1.9630523E-2</v>
      </c>
      <c r="U118">
        <v>1.5669450000000001E-2</v>
      </c>
      <c r="V118">
        <v>5.6241117E-3</v>
      </c>
      <c r="W118">
        <v>0</v>
      </c>
      <c r="X118" s="4">
        <v>7.6548136999999997E-3</v>
      </c>
      <c r="Y118">
        <v>1.10153E-2</v>
      </c>
      <c r="Z118">
        <v>8.1645636000000008E-3</v>
      </c>
      <c r="AA118">
        <v>1.8041395999999999E-4</v>
      </c>
      <c r="AB118" s="4">
        <v>1.9633494000000001E-2</v>
      </c>
      <c r="AC118" s="4">
        <v>3.8704224000000002E-2</v>
      </c>
      <c r="AD118" s="4">
        <v>1.2469478000000001E-2</v>
      </c>
      <c r="AE118" s="4">
        <v>8.0497668999999995E-5</v>
      </c>
      <c r="AF118">
        <v>1.3248165E-4</v>
      </c>
      <c r="AG118" s="4">
        <v>4.1329888E-3</v>
      </c>
      <c r="AH118" s="4">
        <v>6.8145254000000002E-3</v>
      </c>
      <c r="AI118" s="4">
        <v>6.8324414E-3</v>
      </c>
      <c r="AJ118">
        <v>6.8722653000000003E-3</v>
      </c>
      <c r="AK118" s="4">
        <v>6.6364822E-3</v>
      </c>
      <c r="AL118">
        <v>6.2607935999999999E-3</v>
      </c>
      <c r="AM118">
        <v>4.4477209999999996</v>
      </c>
      <c r="AN118">
        <v>1.8041395999999999E-4</v>
      </c>
      <c r="AO118">
        <v>55.835211999999999</v>
      </c>
      <c r="AP118">
        <v>56.857430999999998</v>
      </c>
      <c r="AQ118">
        <v>5.9220683999999997</v>
      </c>
      <c r="AR118">
        <v>59.342305000000003</v>
      </c>
      <c r="AS118">
        <v>5.1576711999999997E-2</v>
      </c>
      <c r="AT118">
        <v>0.21488636999999999</v>
      </c>
      <c r="AU118">
        <v>3.1186946E-2</v>
      </c>
      <c r="AV118">
        <v>4.3371291999999999E-2</v>
      </c>
      <c r="AW118">
        <v>0.19922276999999999</v>
      </c>
      <c r="AX118">
        <v>3.3835951</v>
      </c>
      <c r="AY118">
        <v>8.5317971000000006E-2</v>
      </c>
      <c r="AZ118">
        <v>6.9144761999999999E-2</v>
      </c>
      <c r="BA118">
        <v>5.1351029999999999E-2</v>
      </c>
      <c r="BB118">
        <v>0.16934110999999999</v>
      </c>
      <c r="BC118">
        <v>8.6701998000000002E-2</v>
      </c>
      <c r="BD118" s="169">
        <v>1.0494498999999999</v>
      </c>
      <c r="BE118">
        <v>1.1411245999999999</v>
      </c>
      <c r="BF118">
        <v>6.6147995000000001E-2</v>
      </c>
      <c r="BG118">
        <v>2.4119439999999999E-2</v>
      </c>
      <c r="BH118">
        <v>3.4792174000000002E-2</v>
      </c>
      <c r="BI118">
        <v>4.3218413999999997E-2</v>
      </c>
      <c r="BJ118">
        <v>0.12855459999999999</v>
      </c>
      <c r="BK118">
        <v>3.8401250999999997E-2</v>
      </c>
      <c r="BL118">
        <v>2.6938026000000002</v>
      </c>
      <c r="BM118">
        <v>2.0938855999999999E-2</v>
      </c>
      <c r="BN118">
        <v>1.8123849000000001E-2</v>
      </c>
      <c r="BO118">
        <v>0.2435765</v>
      </c>
      <c r="BP118">
        <v>0.15934189000000001</v>
      </c>
      <c r="BQ118">
        <v>1.1710329E-2</v>
      </c>
      <c r="BR118">
        <v>4.7983638000000002E-2</v>
      </c>
      <c r="BS118">
        <v>1.3784965999999999E-2</v>
      </c>
      <c r="BT118" s="4">
        <v>1.0637446E-2</v>
      </c>
      <c r="BU118">
        <v>1.3148842000000001E-2</v>
      </c>
      <c r="BV118">
        <v>3.3223924000000001E-3</v>
      </c>
      <c r="BW118">
        <v>1.4619866E-2</v>
      </c>
      <c r="BX118">
        <v>2.8969559999999998E-2</v>
      </c>
      <c r="BY118">
        <v>1.4619866E-2</v>
      </c>
      <c r="BZ118">
        <v>0.46450736999999998</v>
      </c>
      <c r="CA118">
        <v>0.42199742000000001</v>
      </c>
      <c r="CB118">
        <v>0.18302265000000001</v>
      </c>
      <c r="CC118">
        <v>2.4965225999999999E-3</v>
      </c>
      <c r="CD118">
        <v>0.37133206000000002</v>
      </c>
      <c r="CE118">
        <v>6.2868839999999995E-2</v>
      </c>
      <c r="CF118">
        <v>9.3247556999999995E-2</v>
      </c>
      <c r="CG118">
        <v>5.5878419999999998E-2</v>
      </c>
      <c r="CH118" s="4">
        <v>9.4314771999999998E-3</v>
      </c>
      <c r="CI118" s="4">
        <v>9.6189563999999998E-3</v>
      </c>
      <c r="CJ118" s="4">
        <v>1.6873467E-2</v>
      </c>
      <c r="CK118" s="4">
        <v>2.5983502000000002E-3</v>
      </c>
      <c r="CL118" s="4">
        <v>3.3569795999999999E-6</v>
      </c>
      <c r="CM118" s="4">
        <v>8.6202727000000008E-6</v>
      </c>
      <c r="CN118" s="4">
        <v>6.8593750999999998E-6</v>
      </c>
      <c r="CO118" s="4">
        <v>1.1657858000000001E-5</v>
      </c>
      <c r="CP118" s="4">
        <v>1.1899127999999999E-5</v>
      </c>
      <c r="CQ118" s="4">
        <v>1.1139473E-5</v>
      </c>
      <c r="CR118" s="4">
        <v>2.4415176999999997E-4</v>
      </c>
      <c r="CS118" s="4">
        <v>1.0290385000000001E-3</v>
      </c>
      <c r="CT118" s="4">
        <v>3.8237027E-2</v>
      </c>
      <c r="CU118" s="4">
        <v>7.2851484000000001E-3</v>
      </c>
      <c r="CV118" s="4">
        <v>2.7296597999999998E-2</v>
      </c>
      <c r="CW118" s="4">
        <v>7.6893820000000002E-2</v>
      </c>
      <c r="CX118" s="4"/>
      <c r="CY118" s="4"/>
    </row>
    <row r="119" spans="3:103">
      <c r="C119" t="s">
        <v>850</v>
      </c>
      <c r="D119" t="s">
        <v>2</v>
      </c>
      <c r="E119">
        <v>0.50565059999999995</v>
      </c>
      <c r="F119">
        <v>8.7547354999999993E-2</v>
      </c>
      <c r="G119">
        <v>2.0094470000000002</v>
      </c>
      <c r="H119">
        <v>1.4853732999999999E-2</v>
      </c>
      <c r="I119">
        <v>5.1407780000000004E-3</v>
      </c>
      <c r="J119">
        <v>1.5216756999999999E-2</v>
      </c>
      <c r="K119">
        <v>2.1274036E-2</v>
      </c>
      <c r="L119">
        <v>1.0769320000000001E-2</v>
      </c>
      <c r="M119">
        <v>1.1845431E-2</v>
      </c>
      <c r="N119">
        <v>2.0043823999999998E-2</v>
      </c>
      <c r="O119">
        <v>6.5536901999999997E-4</v>
      </c>
      <c r="P119">
        <v>1.449575E-3</v>
      </c>
      <c r="Q119">
        <v>6.1783039999999999E-3</v>
      </c>
      <c r="R119">
        <v>7.6841523000000002E-3</v>
      </c>
      <c r="S119">
        <v>1.2509932E-2</v>
      </c>
      <c r="T119">
        <v>4.1512555000000001E-3</v>
      </c>
      <c r="U119">
        <v>5.9713255999999998E-3</v>
      </c>
      <c r="V119">
        <v>3.0145346999999999E-3</v>
      </c>
      <c r="W119">
        <v>0</v>
      </c>
      <c r="X119">
        <v>5.3805800000000003E-3</v>
      </c>
      <c r="Y119" s="4">
        <v>9.2907006E-3</v>
      </c>
      <c r="Z119">
        <v>4.8746596000000001E-3</v>
      </c>
      <c r="AA119">
        <v>1.25382E-4</v>
      </c>
      <c r="AB119">
        <v>7.7018763000000004E-3</v>
      </c>
      <c r="AC119" s="4">
        <v>2.3338866E-2</v>
      </c>
      <c r="AD119" s="4">
        <v>1.2469478000000001E-2</v>
      </c>
      <c r="AE119" s="4">
        <v>2.7566692999999999E-5</v>
      </c>
      <c r="AF119" s="4">
        <v>4.2498996999999999E-5</v>
      </c>
      <c r="AG119">
        <v>4.0280979000000003E-3</v>
      </c>
      <c r="AH119">
        <v>6.1238185000000002E-3</v>
      </c>
      <c r="AI119">
        <v>6.1275482999999997E-3</v>
      </c>
      <c r="AJ119">
        <v>6.1966412000000002E-3</v>
      </c>
      <c r="AK119">
        <v>6.0016753999999999E-3</v>
      </c>
      <c r="AL119" s="4">
        <v>5.6980047000000002E-3</v>
      </c>
      <c r="AM119">
        <v>4.0482680000000002</v>
      </c>
      <c r="AN119">
        <v>1.25382E-4</v>
      </c>
      <c r="AO119">
        <v>55.547938000000002</v>
      </c>
      <c r="AP119">
        <v>56.670623999999997</v>
      </c>
      <c r="AQ119">
        <v>4.4031478000000002</v>
      </c>
      <c r="AR119">
        <v>52.798001999999997</v>
      </c>
      <c r="AS119">
        <v>3.7888245000000001E-2</v>
      </c>
      <c r="AT119">
        <v>0.13287901999999999</v>
      </c>
      <c r="AU119">
        <v>1.7897384999999998E-2</v>
      </c>
      <c r="AV119">
        <v>1.2423579000000001E-2</v>
      </c>
      <c r="AW119">
        <v>7.0735021999999995E-2</v>
      </c>
      <c r="AX119">
        <v>0.82446671999999999</v>
      </c>
      <c r="AY119">
        <v>2.6984412999999999E-2</v>
      </c>
      <c r="AZ119">
        <v>2.4528596E-2</v>
      </c>
      <c r="BA119">
        <v>1.2295037999999999E-2</v>
      </c>
      <c r="BB119">
        <v>4.5237876000000003E-2</v>
      </c>
      <c r="BC119">
        <v>2.3361004000000001E-2</v>
      </c>
      <c r="BD119" s="169">
        <v>0.54813571000000005</v>
      </c>
      <c r="BE119">
        <v>0.2173968</v>
      </c>
      <c r="BF119">
        <v>4.9598339999999998E-2</v>
      </c>
      <c r="BG119">
        <v>4.9268068E-3</v>
      </c>
      <c r="BH119">
        <v>7.5954615000000001E-3</v>
      </c>
      <c r="BI119">
        <v>4.4681169999999997E-3</v>
      </c>
      <c r="BJ119">
        <v>4.9259085000000001E-2</v>
      </c>
      <c r="BK119">
        <v>9.2027425999999992E-3</v>
      </c>
      <c r="BL119">
        <v>0.61925715000000003</v>
      </c>
      <c r="BM119">
        <v>4.7756188999999996E-3</v>
      </c>
      <c r="BN119">
        <v>-4.3959943000000001E-4</v>
      </c>
      <c r="BO119">
        <v>4.6391463000000001E-2</v>
      </c>
      <c r="BP119">
        <v>5.7755608E-2</v>
      </c>
      <c r="BQ119">
        <v>-1.4042574E-3</v>
      </c>
      <c r="BR119">
        <v>7.7652978000000003E-3</v>
      </c>
      <c r="BS119">
        <v>2.7042474E-3</v>
      </c>
      <c r="BT119">
        <v>2.2210430999999998E-3</v>
      </c>
      <c r="BU119" s="4">
        <v>3.4145533E-3</v>
      </c>
      <c r="BV119" s="4">
        <v>-3.2476330999999997E-5</v>
      </c>
      <c r="BW119">
        <v>3.6610859E-3</v>
      </c>
      <c r="BX119">
        <v>7.2666665000000004E-3</v>
      </c>
      <c r="BY119">
        <v>3.6610859E-3</v>
      </c>
      <c r="BZ119">
        <v>8.9313909999999996E-2</v>
      </c>
      <c r="CA119">
        <v>0.10253709</v>
      </c>
      <c r="CB119">
        <v>7.1372296000000002E-2</v>
      </c>
      <c r="CC119">
        <v>-1.0482043000000001E-4</v>
      </c>
      <c r="CD119">
        <v>0.13949734</v>
      </c>
      <c r="CE119">
        <v>3.5810832000000001E-2</v>
      </c>
      <c r="CF119">
        <v>3.0839900999999999E-2</v>
      </c>
      <c r="CG119">
        <v>3.0984535000000001E-2</v>
      </c>
      <c r="CH119">
        <v>1.8236636000000001E-3</v>
      </c>
      <c r="CI119">
        <v>2.0341152E-3</v>
      </c>
      <c r="CJ119" s="4">
        <v>3.5855055999999999E-3</v>
      </c>
      <c r="CK119" s="4">
        <v>1.4722368999999999E-3</v>
      </c>
      <c r="CL119" s="4">
        <v>2.1841897000000001E-6</v>
      </c>
      <c r="CM119" s="4">
        <v>5.9626816999999998E-6</v>
      </c>
      <c r="CN119" s="4">
        <v>4.2948930000000002E-6</v>
      </c>
      <c r="CO119" s="4">
        <v>4.6984345999999999E-6</v>
      </c>
      <c r="CP119" s="4">
        <v>8.2341615999999995E-6</v>
      </c>
      <c r="CQ119" s="4">
        <v>7.7728320000000004E-6</v>
      </c>
      <c r="CR119">
        <v>1.5948146999999999E-4</v>
      </c>
      <c r="CS119">
        <v>6.7217440000000002E-4</v>
      </c>
      <c r="CT119" s="4">
        <v>2.4976667000000001E-2</v>
      </c>
      <c r="CU119" s="4">
        <v>5.1578199E-3</v>
      </c>
      <c r="CV119" s="4">
        <v>5.7020480000000004E-3</v>
      </c>
      <c r="CW119" s="4">
        <v>4.9288626000000002E-2</v>
      </c>
      <c r="CX119" s="4"/>
      <c r="CY119" s="4"/>
    </row>
    <row r="120" spans="3:103">
      <c r="C120" t="s">
        <v>270</v>
      </c>
      <c r="D120" t="s">
        <v>2</v>
      </c>
      <c r="E120">
        <v>0.33569590999999999</v>
      </c>
      <c r="F120">
        <v>9.6709658000000004E-2</v>
      </c>
      <c r="G120">
        <v>0.79718960999999999</v>
      </c>
      <c r="H120">
        <v>1.7218467E-3</v>
      </c>
      <c r="I120">
        <v>6.4752413000000004E-4</v>
      </c>
      <c r="J120">
        <v>1.0847662000000001E-3</v>
      </c>
      <c r="K120">
        <v>1.5716930999999999E-3</v>
      </c>
      <c r="L120">
        <v>2.3430492999999999E-3</v>
      </c>
      <c r="M120">
        <v>1.7675986E-3</v>
      </c>
      <c r="N120">
        <v>1.2384313E-3</v>
      </c>
      <c r="O120">
        <v>2.0168393E-4</v>
      </c>
      <c r="P120">
        <v>3.5816301000000001E-4</v>
      </c>
      <c r="Q120">
        <v>5.0706118999999995E-4</v>
      </c>
      <c r="R120">
        <v>5.8327369999999995E-4</v>
      </c>
      <c r="S120">
        <v>1.2747081999999999E-3</v>
      </c>
      <c r="T120">
        <v>2.9973914999999998E-4</v>
      </c>
      <c r="U120">
        <v>7.4163635000000002E-3</v>
      </c>
      <c r="V120">
        <v>4.7798485E-4</v>
      </c>
      <c r="W120">
        <v>0</v>
      </c>
      <c r="X120">
        <v>4.9607613000000005E-4</v>
      </c>
      <c r="Y120" s="4">
        <v>1.1579413999999999E-3</v>
      </c>
      <c r="Z120" s="4">
        <v>2.2814993999999999E-3</v>
      </c>
      <c r="AA120" s="4">
        <v>8.4565794000000003E-6</v>
      </c>
      <c r="AB120">
        <v>3.0450907000000001E-3</v>
      </c>
      <c r="AC120" s="4">
        <v>2.4414125000000002E-3</v>
      </c>
      <c r="AD120" s="4">
        <v>0</v>
      </c>
      <c r="AE120" s="4">
        <v>1.7992636E-5</v>
      </c>
      <c r="AF120" s="4">
        <v>3.0587479999999997E-5</v>
      </c>
      <c r="AG120">
        <v>1.0489091E-4</v>
      </c>
      <c r="AH120" s="4">
        <v>5.8345130999999998E-4</v>
      </c>
      <c r="AI120" s="4">
        <v>5.8051996E-4</v>
      </c>
      <c r="AJ120" s="4">
        <v>5.7844223000000003E-4</v>
      </c>
      <c r="AK120">
        <v>5.8734879999999996E-4</v>
      </c>
      <c r="AL120" s="4">
        <v>5.5994715999999999E-4</v>
      </c>
      <c r="AM120" s="4">
        <v>0.39945296000000002</v>
      </c>
      <c r="AN120" s="4">
        <v>8.4565794000000003E-6</v>
      </c>
      <c r="AO120">
        <v>0.14410349</v>
      </c>
      <c r="AP120">
        <v>0.13006818000000001</v>
      </c>
      <c r="AQ120">
        <v>0.30583701000000002</v>
      </c>
      <c r="AR120">
        <v>4.8671869000000001</v>
      </c>
      <c r="AS120">
        <v>4.6104594999999996E-3</v>
      </c>
      <c r="AT120">
        <v>1.7870357999999999E-2</v>
      </c>
      <c r="AU120">
        <v>3.0155833000000002E-3</v>
      </c>
      <c r="AV120">
        <v>2.6316613999999999E-2</v>
      </c>
      <c r="AW120">
        <v>0.10131547</v>
      </c>
      <c r="AX120">
        <v>2.3965527999999998</v>
      </c>
      <c r="AY120">
        <v>4.7916226999999999E-2</v>
      </c>
      <c r="AZ120">
        <v>3.7121567000000001E-2</v>
      </c>
      <c r="BA120">
        <v>2.4468277E-2</v>
      </c>
      <c r="BB120">
        <v>0.11529138</v>
      </c>
      <c r="BC120">
        <v>5.8205393000000001E-2</v>
      </c>
      <c r="BD120" s="169">
        <v>0.47653229000000003</v>
      </c>
      <c r="BE120">
        <v>0.85968350999999998</v>
      </c>
      <c r="BF120">
        <v>1.4534698E-2</v>
      </c>
      <c r="BG120">
        <v>1.7633815E-3</v>
      </c>
      <c r="BH120">
        <v>2.5524308999999998E-2</v>
      </c>
      <c r="BI120">
        <v>3.7247477000000001E-2</v>
      </c>
      <c r="BJ120">
        <v>7.5303315999999995E-2</v>
      </c>
      <c r="BK120">
        <v>2.7044998000000001E-2</v>
      </c>
      <c r="BL120">
        <v>2.0197216</v>
      </c>
      <c r="BM120">
        <v>1.5003789999999999E-2</v>
      </c>
      <c r="BN120">
        <v>1.5402865999999999E-2</v>
      </c>
      <c r="BO120">
        <v>0.18352510999999999</v>
      </c>
      <c r="BP120">
        <v>9.4870835000000001E-2</v>
      </c>
      <c r="BQ120">
        <v>1.2250428000000001E-2</v>
      </c>
      <c r="BR120">
        <v>3.9315610000000001E-2</v>
      </c>
      <c r="BS120">
        <v>1.0679423E-2</v>
      </c>
      <c r="BT120">
        <v>8.0585158000000007E-3</v>
      </c>
      <c r="BU120">
        <v>6.1454052999999995E-4</v>
      </c>
      <c r="BV120">
        <v>2.6798998000000002E-3</v>
      </c>
      <c r="BW120">
        <v>5.0905020999999996E-4</v>
      </c>
      <c r="BX120">
        <v>8.0391092999999999E-4</v>
      </c>
      <c r="BY120">
        <v>5.0905020999999996E-4</v>
      </c>
      <c r="BZ120">
        <v>0.34141742000000003</v>
      </c>
      <c r="CA120">
        <v>0.30362038000000002</v>
      </c>
      <c r="CB120">
        <v>9.6550236999999997E-2</v>
      </c>
      <c r="CC120">
        <v>2.2800915999999999E-3</v>
      </c>
      <c r="CD120">
        <v>1.6833898999999999E-2</v>
      </c>
      <c r="CE120">
        <v>3.3470940000000001E-3</v>
      </c>
      <c r="CF120">
        <v>3.1386338999999999E-3</v>
      </c>
      <c r="CG120">
        <v>4.8393463999999997E-3</v>
      </c>
      <c r="CH120">
        <v>1.1679481E-4</v>
      </c>
      <c r="CI120">
        <v>1.4687218E-4</v>
      </c>
      <c r="CJ120" s="4">
        <v>2.4197950999999999E-4</v>
      </c>
      <c r="CK120" s="4">
        <v>3.9473494999999999E-4</v>
      </c>
      <c r="CL120" s="4">
        <v>3.1519566E-7</v>
      </c>
      <c r="CM120" s="4">
        <v>4.7916142999999996E-7</v>
      </c>
      <c r="CN120" s="4">
        <v>9.5101759999999998E-7</v>
      </c>
      <c r="CO120" s="4">
        <v>7.3522358999999999E-7</v>
      </c>
      <c r="CP120" s="4">
        <v>6.6175904000000003E-7</v>
      </c>
      <c r="CQ120" s="4">
        <v>5.3678586000000005E-7</v>
      </c>
      <c r="CR120" s="4">
        <v>2.778153E-5</v>
      </c>
      <c r="CS120">
        <v>1.1709218E-4</v>
      </c>
      <c r="CT120" s="4">
        <v>4.3509131000000001E-3</v>
      </c>
      <c r="CU120" s="4">
        <v>3.8184896999999998E-4</v>
      </c>
      <c r="CV120" s="4">
        <v>3.5357465E-4</v>
      </c>
      <c r="CW120" s="4">
        <v>6.4892366999999996E-3</v>
      </c>
      <c r="CX120" s="4"/>
      <c r="CY120" s="4"/>
    </row>
    <row r="121" spans="3:103">
      <c r="C121" t="s">
        <v>271</v>
      </c>
      <c r="D121" t="s">
        <v>2</v>
      </c>
      <c r="E121">
        <v>0.27893502999999997</v>
      </c>
      <c r="F121">
        <v>3.8903321999999997E-2</v>
      </c>
      <c r="G121">
        <v>1.0643194</v>
      </c>
      <c r="H121">
        <v>1.0280631E-2</v>
      </c>
      <c r="I121">
        <v>1.9668703E-3</v>
      </c>
      <c r="J121">
        <v>5.4890978000000003E-3</v>
      </c>
      <c r="K121">
        <v>7.688505E-3</v>
      </c>
      <c r="L121">
        <v>3.9825242000000004E-3</v>
      </c>
      <c r="M121">
        <v>1.6277819999999998E-2</v>
      </c>
      <c r="N121">
        <v>7.2262328000000002E-3</v>
      </c>
      <c r="O121">
        <v>3.2164158999999998E-4</v>
      </c>
      <c r="P121">
        <v>6.8268278000000002E-4</v>
      </c>
      <c r="Q121">
        <v>1.6421801E-2</v>
      </c>
      <c r="R121">
        <v>1.6119900999999999E-2</v>
      </c>
      <c r="S121">
        <v>1.7638497999999999E-2</v>
      </c>
      <c r="T121">
        <v>1.5179529000000001E-2</v>
      </c>
      <c r="U121">
        <v>2.2817610000000002E-3</v>
      </c>
      <c r="V121">
        <v>2.1315921999999999E-3</v>
      </c>
      <c r="W121">
        <v>0</v>
      </c>
      <c r="X121">
        <v>1.7781575E-3</v>
      </c>
      <c r="Y121">
        <v>5.6665754000000004E-4</v>
      </c>
      <c r="Z121" s="4">
        <v>1.0084046000000001E-3</v>
      </c>
      <c r="AA121" s="4">
        <v>4.6575381000000003E-5</v>
      </c>
      <c r="AB121">
        <v>8.8865274999999997E-3</v>
      </c>
      <c r="AC121">
        <v>1.2923944999999999E-2</v>
      </c>
      <c r="AD121" s="4">
        <v>0</v>
      </c>
      <c r="AE121" s="4">
        <v>3.4938338999999997E-5</v>
      </c>
      <c r="AF121" s="4">
        <v>5.9395175999999998E-5</v>
      </c>
      <c r="AG121">
        <v>0</v>
      </c>
      <c r="AH121">
        <v>1.0725562E-4</v>
      </c>
      <c r="AI121" s="4">
        <v>1.2437316999999999E-4</v>
      </c>
      <c r="AJ121" s="4">
        <v>9.7181848000000003E-5</v>
      </c>
      <c r="AK121" s="4">
        <v>4.7457991999999997E-5</v>
      </c>
      <c r="AL121" s="4">
        <v>2.8417712000000002E-6</v>
      </c>
      <c r="AM121" s="4">
        <v>0</v>
      </c>
      <c r="AN121" s="4">
        <v>4.6575381000000003E-5</v>
      </c>
      <c r="AO121">
        <v>0.14317086000000001</v>
      </c>
      <c r="AP121">
        <v>5.6739469000000001E-2</v>
      </c>
      <c r="AQ121">
        <v>1.2130836</v>
      </c>
      <c r="AR121">
        <v>1.6771160000000001</v>
      </c>
      <c r="AS121">
        <v>9.0780072999999996E-3</v>
      </c>
      <c r="AT121">
        <v>6.4136997000000001E-2</v>
      </c>
      <c r="AU121">
        <v>1.0273977E-2</v>
      </c>
      <c r="AV121">
        <v>4.6310993000000002E-3</v>
      </c>
      <c r="AW121">
        <v>2.7172285000000001E-2</v>
      </c>
      <c r="AX121">
        <v>0.16257558</v>
      </c>
      <c r="AY121">
        <v>1.0417331E-2</v>
      </c>
      <c r="AZ121">
        <v>7.4945988999999998E-3</v>
      </c>
      <c r="BA121">
        <v>1.4587714E-2</v>
      </c>
      <c r="BB121">
        <v>8.8118562000000008E-3</v>
      </c>
      <c r="BC121">
        <v>5.1356003999999999E-3</v>
      </c>
      <c r="BD121" s="169">
        <v>2.4781882000000002E-2</v>
      </c>
      <c r="BE121">
        <v>6.4044315000000004E-2</v>
      </c>
      <c r="BF121">
        <v>2.0149562000000001E-3</v>
      </c>
      <c r="BG121">
        <v>1.7429251E-2</v>
      </c>
      <c r="BH121">
        <v>1.6724035E-3</v>
      </c>
      <c r="BI121">
        <v>1.5028204999999999E-3</v>
      </c>
      <c r="BJ121">
        <v>3.9921961000000004E-3</v>
      </c>
      <c r="BK121">
        <v>2.1535104000000001E-3</v>
      </c>
      <c r="BL121">
        <v>5.4823900000000002E-2</v>
      </c>
      <c r="BM121">
        <v>1.1594474E-3</v>
      </c>
      <c r="BN121">
        <v>3.1605823E-3</v>
      </c>
      <c r="BO121">
        <v>1.3659928E-2</v>
      </c>
      <c r="BP121">
        <v>6.7154464000000001E-3</v>
      </c>
      <c r="BQ121">
        <v>8.6415809000000004E-4</v>
      </c>
      <c r="BR121">
        <v>9.0273084000000003E-4</v>
      </c>
      <c r="BS121">
        <v>4.0129508999999999E-4</v>
      </c>
      <c r="BT121">
        <v>3.5788668999999998E-4</v>
      </c>
      <c r="BU121">
        <v>9.1197479000000008E-3</v>
      </c>
      <c r="BV121">
        <v>6.7496894999999996E-4</v>
      </c>
      <c r="BW121">
        <v>1.0449730000000001E-2</v>
      </c>
      <c r="BX121">
        <v>2.0898982999999999E-2</v>
      </c>
      <c r="BY121">
        <v>1.0449730000000001E-2</v>
      </c>
      <c r="BZ121">
        <v>3.3776043999999998E-2</v>
      </c>
      <c r="CA121">
        <v>1.5839954E-2</v>
      </c>
      <c r="CB121">
        <v>1.5100117E-2</v>
      </c>
      <c r="CC121">
        <v>3.2125146E-4</v>
      </c>
      <c r="CD121">
        <v>0.21500082000000001</v>
      </c>
      <c r="CE121">
        <v>2.3710913E-2</v>
      </c>
      <c r="CF121">
        <v>5.9269020999999998E-2</v>
      </c>
      <c r="CG121">
        <v>2.0054539E-2</v>
      </c>
      <c r="CH121">
        <v>7.4910187999999997E-3</v>
      </c>
      <c r="CI121">
        <v>7.437969E-3</v>
      </c>
      <c r="CJ121">
        <v>1.3045981999999999E-2</v>
      </c>
      <c r="CK121" s="4">
        <v>7.3137839000000004E-4</v>
      </c>
      <c r="CL121" s="4">
        <v>8.5759422999999998E-7</v>
      </c>
      <c r="CM121" s="4">
        <v>2.1784295E-6</v>
      </c>
      <c r="CN121" s="4">
        <v>1.6134645000000001E-6</v>
      </c>
      <c r="CO121" s="4">
        <v>6.2242003000000003E-6</v>
      </c>
      <c r="CP121" s="4">
        <v>3.0032073000000001E-6</v>
      </c>
      <c r="CQ121" s="4">
        <v>2.8298551999999999E-6</v>
      </c>
      <c r="CR121" s="4">
        <v>5.6888765000000001E-5</v>
      </c>
      <c r="CS121">
        <v>2.3977188000000001E-4</v>
      </c>
      <c r="CT121">
        <v>8.9094471000000005E-3</v>
      </c>
      <c r="CU121" s="4">
        <v>1.7454795E-3</v>
      </c>
      <c r="CV121" s="4">
        <v>2.1240976000000002E-2</v>
      </c>
      <c r="CW121" s="4">
        <v>2.1115956000000002E-2</v>
      </c>
      <c r="CX121" s="4"/>
      <c r="CY121" s="4"/>
    </row>
    <row r="127" spans="3:103">
      <c r="C127" s="169"/>
    </row>
    <row r="128" spans="3:103">
      <c r="C128" t="s">
        <v>570</v>
      </c>
      <c r="D128" t="s">
        <v>571</v>
      </c>
    </row>
    <row r="129" spans="3:4">
      <c r="C129" t="s">
        <v>572</v>
      </c>
      <c r="D129" t="s">
        <v>573</v>
      </c>
    </row>
    <row r="130" spans="3:4" hidden="1" outlineLevel="1">
      <c r="C130" t="s">
        <v>574</v>
      </c>
      <c r="D130" t="s">
        <v>2074</v>
      </c>
    </row>
    <row r="131" spans="3:4" hidden="1" outlineLevel="1">
      <c r="C131" t="s">
        <v>575</v>
      </c>
      <c r="D131" t="s">
        <v>2075</v>
      </c>
    </row>
    <row r="132" spans="3:4" hidden="1" outlineLevel="1">
      <c r="C132" t="s">
        <v>576</v>
      </c>
      <c r="D132" t="s">
        <v>2076</v>
      </c>
    </row>
    <row r="133" spans="3:4" hidden="1" outlineLevel="1">
      <c r="C133" t="s">
        <v>577</v>
      </c>
      <c r="D133" t="s">
        <v>2077</v>
      </c>
    </row>
    <row r="134" spans="3:4" hidden="1" outlineLevel="1">
      <c r="C134" t="s">
        <v>578</v>
      </c>
      <c r="D134" t="s">
        <v>1051</v>
      </c>
    </row>
    <row r="135" spans="3:4" hidden="1" outlineLevel="1">
      <c r="C135" t="s">
        <v>579</v>
      </c>
      <c r="D135" t="s">
        <v>1052</v>
      </c>
    </row>
    <row r="136" spans="3:4" hidden="1" outlineLevel="1">
      <c r="C136" t="s">
        <v>580</v>
      </c>
      <c r="D136" t="s">
        <v>1054</v>
      </c>
    </row>
    <row r="137" spans="3:4" hidden="1" outlineLevel="1">
      <c r="C137" t="s">
        <v>581</v>
      </c>
      <c r="D137" t="s">
        <v>1053</v>
      </c>
    </row>
    <row r="138" spans="3:4" hidden="1" outlineLevel="1">
      <c r="C138" t="s">
        <v>582</v>
      </c>
      <c r="D138" t="s">
        <v>1798</v>
      </c>
    </row>
    <row r="139" spans="3:4" hidden="1" outlineLevel="1">
      <c r="C139" t="s">
        <v>583</v>
      </c>
      <c r="D139" t="s">
        <v>2078</v>
      </c>
    </row>
    <row r="140" spans="3:4" hidden="1" outlineLevel="1">
      <c r="C140" t="s">
        <v>584</v>
      </c>
      <c r="D140" t="s">
        <v>2079</v>
      </c>
    </row>
    <row r="141" spans="3:4" hidden="1" outlineLevel="1">
      <c r="C141" t="s">
        <v>585</v>
      </c>
      <c r="D141" t="s">
        <v>2080</v>
      </c>
    </row>
    <row r="142" spans="3:4" hidden="1" outlineLevel="1">
      <c r="C142" t="s">
        <v>586</v>
      </c>
      <c r="D142" t="s">
        <v>2081</v>
      </c>
    </row>
    <row r="143" spans="3:4" hidden="1" outlineLevel="1">
      <c r="C143" t="s">
        <v>587</v>
      </c>
      <c r="D143" t="s">
        <v>608</v>
      </c>
    </row>
    <row r="144" spans="3:4" hidden="1" outlineLevel="1">
      <c r="C144" t="s">
        <v>588</v>
      </c>
      <c r="D144" t="s">
        <v>2082</v>
      </c>
    </row>
    <row r="145" spans="3:4" hidden="1" outlineLevel="1">
      <c r="C145" t="s">
        <v>589</v>
      </c>
      <c r="D145" t="s">
        <v>2083</v>
      </c>
    </row>
    <row r="146" spans="3:4" hidden="1" outlineLevel="1">
      <c r="C146" t="s">
        <v>590</v>
      </c>
      <c r="D146" t="s">
        <v>2084</v>
      </c>
    </row>
    <row r="147" spans="3:4" hidden="1" outlineLevel="1">
      <c r="C147" t="s">
        <v>591</v>
      </c>
      <c r="D147" t="s">
        <v>2085</v>
      </c>
    </row>
    <row r="148" spans="3:4" hidden="1" outlineLevel="1">
      <c r="C148" t="s">
        <v>592</v>
      </c>
      <c r="D148" t="s">
        <v>2086</v>
      </c>
    </row>
    <row r="149" spans="3:4" hidden="1" outlineLevel="1">
      <c r="C149" t="s">
        <v>593</v>
      </c>
      <c r="D149" t="s">
        <v>2087</v>
      </c>
    </row>
    <row r="150" spans="3:4" hidden="1" outlineLevel="1">
      <c r="C150" t="s">
        <v>620</v>
      </c>
      <c r="D150" t="s">
        <v>2088</v>
      </c>
    </row>
    <row r="151" spans="3:4" hidden="1" outlineLevel="1">
      <c r="C151" t="s">
        <v>622</v>
      </c>
      <c r="D151" t="s">
        <v>2089</v>
      </c>
    </row>
    <row r="152" spans="3:4" hidden="1" outlineLevel="1">
      <c r="C152" t="s">
        <v>623</v>
      </c>
      <c r="D152" t="s">
        <v>618</v>
      </c>
    </row>
    <row r="153" spans="3:4" hidden="1" outlineLevel="1">
      <c r="C153" t="s">
        <v>625</v>
      </c>
      <c r="D153" t="s">
        <v>2090</v>
      </c>
    </row>
    <row r="154" spans="3:4" hidden="1" outlineLevel="1">
      <c r="C154" t="s">
        <v>917</v>
      </c>
      <c r="D154" t="s">
        <v>2091</v>
      </c>
    </row>
    <row r="155" spans="3:4" hidden="1" outlineLevel="1">
      <c r="C155" t="s">
        <v>950</v>
      </c>
      <c r="D155" t="s">
        <v>611</v>
      </c>
    </row>
    <row r="156" spans="3:4" hidden="1" outlineLevel="1">
      <c r="C156" t="s">
        <v>972</v>
      </c>
      <c r="D156" t="s">
        <v>612</v>
      </c>
    </row>
    <row r="157" spans="3:4" hidden="1" outlineLevel="1">
      <c r="C157" t="s">
        <v>1129</v>
      </c>
      <c r="D157" t="s">
        <v>1187</v>
      </c>
    </row>
    <row r="158" spans="3:4" hidden="1" outlineLevel="1">
      <c r="C158" t="s">
        <v>1647</v>
      </c>
      <c r="D158" t="s">
        <v>1715</v>
      </c>
    </row>
    <row r="159" spans="3:4" hidden="1" outlineLevel="1">
      <c r="C159" t="s">
        <v>1648</v>
      </c>
      <c r="D159" t="s">
        <v>613</v>
      </c>
    </row>
    <row r="160" spans="3:4" hidden="1" outlineLevel="1">
      <c r="C160" t="s">
        <v>1718</v>
      </c>
      <c r="D160" t="s">
        <v>614</v>
      </c>
    </row>
    <row r="161" spans="3:4" hidden="1" outlineLevel="1">
      <c r="C161" t="s">
        <v>1753</v>
      </c>
      <c r="D161" t="s">
        <v>615</v>
      </c>
    </row>
    <row r="162" spans="3:4" hidden="1" outlineLevel="1">
      <c r="C162" t="s">
        <v>1754</v>
      </c>
      <c r="D162" t="s">
        <v>616</v>
      </c>
    </row>
    <row r="163" spans="3:4" hidden="1" outlineLevel="1">
      <c r="C163" t="s">
        <v>1755</v>
      </c>
      <c r="D163" t="s">
        <v>1717</v>
      </c>
    </row>
    <row r="164" spans="3:4" hidden="1" outlineLevel="1">
      <c r="C164" t="s">
        <v>1756</v>
      </c>
      <c r="D164" t="s">
        <v>835</v>
      </c>
    </row>
    <row r="165" spans="3:4" hidden="1" outlineLevel="1">
      <c r="C165" t="s">
        <v>1757</v>
      </c>
      <c r="D165" t="s">
        <v>618</v>
      </c>
    </row>
    <row r="166" spans="3:4" hidden="1" outlineLevel="1">
      <c r="C166" t="s">
        <v>1758</v>
      </c>
      <c r="D166" t="s">
        <v>619</v>
      </c>
    </row>
    <row r="167" spans="3:4" hidden="1" outlineLevel="1">
      <c r="C167" t="s">
        <v>1759</v>
      </c>
      <c r="D167" t="s">
        <v>621</v>
      </c>
    </row>
    <row r="168" spans="3:4" hidden="1" outlineLevel="1">
      <c r="C168" t="s">
        <v>1806</v>
      </c>
      <c r="D168" t="s">
        <v>2092</v>
      </c>
    </row>
    <row r="169" spans="3:4" hidden="1" outlineLevel="1">
      <c r="C169" t="s">
        <v>1893</v>
      </c>
      <c r="D169" t="s">
        <v>624</v>
      </c>
    </row>
    <row r="170" spans="3:4" hidden="1" outlineLevel="1">
      <c r="C170" t="s">
        <v>1894</v>
      </c>
      <c r="D170" t="s">
        <v>2093</v>
      </c>
    </row>
    <row r="171" spans="3:4" hidden="1" outlineLevel="1">
      <c r="C171" t="s">
        <v>1895</v>
      </c>
      <c r="D171" t="s">
        <v>951</v>
      </c>
    </row>
    <row r="172" spans="3:4" hidden="1" outlineLevel="1">
      <c r="C172" t="s">
        <v>1896</v>
      </c>
      <c r="D172" t="s">
        <v>1681</v>
      </c>
    </row>
    <row r="173" spans="3:4" hidden="1" outlineLevel="1">
      <c r="C173" t="s">
        <v>1897</v>
      </c>
      <c r="D173" t="s">
        <v>2094</v>
      </c>
    </row>
    <row r="174" spans="3:4" hidden="1" outlineLevel="1">
      <c r="C174" t="s">
        <v>1898</v>
      </c>
      <c r="D174" t="s">
        <v>2095</v>
      </c>
    </row>
    <row r="175" spans="3:4" hidden="1" outlineLevel="1">
      <c r="C175" t="s">
        <v>1899</v>
      </c>
      <c r="D175" t="s">
        <v>2096</v>
      </c>
    </row>
    <row r="176" spans="3:4" hidden="1" outlineLevel="1">
      <c r="C176" t="s">
        <v>1900</v>
      </c>
      <c r="D176" t="s">
        <v>2097</v>
      </c>
    </row>
    <row r="177" spans="3:4" hidden="1" outlineLevel="1">
      <c r="C177" t="s">
        <v>1901</v>
      </c>
      <c r="D177" t="s">
        <v>2098</v>
      </c>
    </row>
    <row r="178" spans="3:4" hidden="1" outlineLevel="1">
      <c r="C178" t="s">
        <v>1902</v>
      </c>
      <c r="D178" t="s">
        <v>2099</v>
      </c>
    </row>
    <row r="179" spans="3:4" hidden="1" outlineLevel="1">
      <c r="C179" t="s">
        <v>1903</v>
      </c>
      <c r="D179" t="s">
        <v>2100</v>
      </c>
    </row>
    <row r="180" spans="3:4" hidden="1" outlineLevel="1">
      <c r="C180" t="s">
        <v>1904</v>
      </c>
      <c r="D180" t="s">
        <v>2101</v>
      </c>
    </row>
    <row r="181" spans="3:4" hidden="1" outlineLevel="1">
      <c r="C181" t="s">
        <v>1905</v>
      </c>
      <c r="D181" t="s">
        <v>2102</v>
      </c>
    </row>
    <row r="182" spans="3:4" hidden="1" outlineLevel="1">
      <c r="C182" t="s">
        <v>1906</v>
      </c>
      <c r="D182" t="s">
        <v>2103</v>
      </c>
    </row>
    <row r="183" spans="3:4" hidden="1" outlineLevel="1">
      <c r="C183" t="s">
        <v>1907</v>
      </c>
      <c r="D183" t="s">
        <v>2104</v>
      </c>
    </row>
    <row r="184" spans="3:4" hidden="1" outlineLevel="1">
      <c r="C184" t="s">
        <v>1908</v>
      </c>
      <c r="D184" t="s">
        <v>2105</v>
      </c>
    </row>
    <row r="185" spans="3:4" hidden="1" outlineLevel="1">
      <c r="C185" t="s">
        <v>1909</v>
      </c>
      <c r="D185" t="s">
        <v>2106</v>
      </c>
    </row>
    <row r="186" spans="3:4" hidden="1" outlineLevel="1">
      <c r="C186" t="s">
        <v>1910</v>
      </c>
      <c r="D186" t="s">
        <v>2107</v>
      </c>
    </row>
    <row r="187" spans="3:4" hidden="1" outlineLevel="1">
      <c r="C187" t="s">
        <v>1911</v>
      </c>
      <c r="D187" t="s">
        <v>2108</v>
      </c>
    </row>
    <row r="188" spans="3:4" hidden="1" outlineLevel="1">
      <c r="C188" t="s">
        <v>1912</v>
      </c>
      <c r="D188" t="s">
        <v>2109</v>
      </c>
    </row>
    <row r="189" spans="3:4" hidden="1" outlineLevel="1">
      <c r="C189" t="s">
        <v>1913</v>
      </c>
      <c r="D189" t="s">
        <v>2110</v>
      </c>
    </row>
    <row r="190" spans="3:4" hidden="1" outlineLevel="1">
      <c r="C190" t="s">
        <v>1914</v>
      </c>
      <c r="D190" t="s">
        <v>2111</v>
      </c>
    </row>
    <row r="191" spans="3:4" hidden="1" outlineLevel="1">
      <c r="C191" t="s">
        <v>1915</v>
      </c>
      <c r="D191" t="s">
        <v>2112</v>
      </c>
    </row>
    <row r="192" spans="3:4" hidden="1" outlineLevel="1">
      <c r="C192" t="s">
        <v>1916</v>
      </c>
      <c r="D192" t="s">
        <v>2113</v>
      </c>
    </row>
    <row r="193" spans="3:4" hidden="1" outlineLevel="1">
      <c r="C193" t="s">
        <v>1917</v>
      </c>
      <c r="D193" t="s">
        <v>2114</v>
      </c>
    </row>
    <row r="194" spans="3:4" hidden="1" outlineLevel="1">
      <c r="C194" t="s">
        <v>1918</v>
      </c>
      <c r="D194" t="s">
        <v>2115</v>
      </c>
    </row>
    <row r="195" spans="3:4" hidden="1" outlineLevel="1">
      <c r="C195" t="s">
        <v>1919</v>
      </c>
      <c r="D195" t="s">
        <v>719</v>
      </c>
    </row>
    <row r="196" spans="3:4" hidden="1" outlineLevel="1">
      <c r="C196" t="s">
        <v>1920</v>
      </c>
      <c r="D196" t="s">
        <v>2116</v>
      </c>
    </row>
    <row r="197" spans="3:4" hidden="1" outlineLevel="1">
      <c r="C197" t="s">
        <v>1921</v>
      </c>
      <c r="D197" t="s">
        <v>2117</v>
      </c>
    </row>
    <row r="198" spans="3:4" hidden="1" outlineLevel="1">
      <c r="C198" t="s">
        <v>1922</v>
      </c>
      <c r="D198" t="s">
        <v>2118</v>
      </c>
    </row>
    <row r="199" spans="3:4" hidden="1" outlineLevel="1">
      <c r="C199" t="s">
        <v>1923</v>
      </c>
      <c r="D199" t="s">
        <v>2119</v>
      </c>
    </row>
    <row r="200" spans="3:4" hidden="1" outlineLevel="1">
      <c r="C200" t="s">
        <v>1924</v>
      </c>
      <c r="D200" t="s">
        <v>1093</v>
      </c>
    </row>
    <row r="201" spans="3:4" hidden="1" outlineLevel="1">
      <c r="C201" t="s">
        <v>1925</v>
      </c>
      <c r="D201" t="s">
        <v>1092</v>
      </c>
    </row>
    <row r="202" spans="3:4" hidden="1" outlineLevel="1">
      <c r="C202" t="s">
        <v>1926</v>
      </c>
      <c r="D202" t="s">
        <v>1093</v>
      </c>
    </row>
    <row r="203" spans="3:4" hidden="1" outlineLevel="1">
      <c r="C203" t="s">
        <v>1927</v>
      </c>
      <c r="D203" t="s">
        <v>2120</v>
      </c>
    </row>
    <row r="204" spans="3:4" hidden="1" outlineLevel="1">
      <c r="C204" t="s">
        <v>1928</v>
      </c>
      <c r="D204" t="s">
        <v>1095</v>
      </c>
    </row>
    <row r="205" spans="3:4" hidden="1" outlineLevel="1">
      <c r="C205" t="s">
        <v>1929</v>
      </c>
      <c r="D205" t="s">
        <v>1096</v>
      </c>
    </row>
    <row r="206" spans="3:4" hidden="1" outlineLevel="1">
      <c r="C206" t="s">
        <v>1930</v>
      </c>
      <c r="D206" t="s">
        <v>2121</v>
      </c>
    </row>
    <row r="207" spans="3:4" hidden="1" outlineLevel="1">
      <c r="C207" t="s">
        <v>1931</v>
      </c>
      <c r="D207" t="s">
        <v>2122</v>
      </c>
    </row>
    <row r="208" spans="3:4" hidden="1" outlineLevel="1">
      <c r="C208" t="s">
        <v>1932</v>
      </c>
      <c r="D208" t="s">
        <v>2123</v>
      </c>
    </row>
    <row r="209" spans="3:4" hidden="1" outlineLevel="1">
      <c r="C209" t="s">
        <v>1933</v>
      </c>
      <c r="D209" t="s">
        <v>2124</v>
      </c>
    </row>
    <row r="210" spans="3:4" hidden="1" outlineLevel="1">
      <c r="C210" t="s">
        <v>1934</v>
      </c>
      <c r="D210" t="s">
        <v>2125</v>
      </c>
    </row>
    <row r="211" spans="3:4" hidden="1" outlineLevel="1">
      <c r="C211" t="s">
        <v>1935</v>
      </c>
      <c r="D211" t="s">
        <v>604</v>
      </c>
    </row>
    <row r="212" spans="3:4" hidden="1" outlineLevel="1">
      <c r="C212" t="s">
        <v>1936</v>
      </c>
      <c r="D212" t="s">
        <v>2126</v>
      </c>
    </row>
    <row r="213" spans="3:4" hidden="1" outlineLevel="1">
      <c r="C213" t="s">
        <v>1937</v>
      </c>
      <c r="D213" t="s">
        <v>2127</v>
      </c>
    </row>
    <row r="214" spans="3:4" hidden="1" outlineLevel="1">
      <c r="C214" t="s">
        <v>1938</v>
      </c>
      <c r="D214" t="s">
        <v>2128</v>
      </c>
    </row>
    <row r="215" spans="3:4" hidden="1" outlineLevel="1">
      <c r="C215" t="s">
        <v>1939</v>
      </c>
      <c r="D215" t="s">
        <v>2129</v>
      </c>
    </row>
    <row r="216" spans="3:4" hidden="1" outlineLevel="1">
      <c r="C216" t="s">
        <v>1940</v>
      </c>
      <c r="D216" t="s">
        <v>2130</v>
      </c>
    </row>
    <row r="217" spans="3:4" hidden="1" outlineLevel="1">
      <c r="C217" t="s">
        <v>1941</v>
      </c>
      <c r="D217" t="s">
        <v>2131</v>
      </c>
    </row>
    <row r="218" spans="3:4" hidden="1" outlineLevel="1">
      <c r="C218" t="s">
        <v>1942</v>
      </c>
      <c r="D218" t="s">
        <v>2132</v>
      </c>
    </row>
    <row r="219" spans="3:4" hidden="1" outlineLevel="1">
      <c r="C219" t="s">
        <v>1952</v>
      </c>
      <c r="D219" t="s">
        <v>2133</v>
      </c>
    </row>
    <row r="220" spans="3:4" hidden="1" outlineLevel="1">
      <c r="C220" t="s">
        <v>1953</v>
      </c>
      <c r="D220" t="s">
        <v>2134</v>
      </c>
    </row>
    <row r="221" spans="3:4" hidden="1" outlineLevel="1">
      <c r="C221" t="s">
        <v>1954</v>
      </c>
      <c r="D221" t="s">
        <v>2135</v>
      </c>
    </row>
    <row r="222" spans="3:4" hidden="1" outlineLevel="1">
      <c r="C222" t="s">
        <v>1955</v>
      </c>
      <c r="D222" t="s">
        <v>2136</v>
      </c>
    </row>
    <row r="223" spans="3:4" hidden="1" outlineLevel="1">
      <c r="C223" t="s">
        <v>1956</v>
      </c>
      <c r="D223" t="s">
        <v>2137</v>
      </c>
    </row>
    <row r="224" spans="3:4" hidden="1" outlineLevel="1">
      <c r="C224" t="s">
        <v>1957</v>
      </c>
      <c r="D224" t="s">
        <v>2138</v>
      </c>
    </row>
    <row r="225" spans="3:101" hidden="1" outlineLevel="1">
      <c r="C225" t="s">
        <v>1958</v>
      </c>
      <c r="D225" t="s">
        <v>2139</v>
      </c>
    </row>
    <row r="226" spans="3:101" hidden="1" outlineLevel="1">
      <c r="C226" t="s">
        <v>1959</v>
      </c>
      <c r="D226" t="s">
        <v>2140</v>
      </c>
    </row>
    <row r="227" spans="3:101" collapsed="1">
      <c r="C227" t="s">
        <v>523</v>
      </c>
      <c r="D227" t="s">
        <v>2160</v>
      </c>
    </row>
    <row r="228" spans="3:101">
      <c r="C228" t="s">
        <v>524</v>
      </c>
      <c r="D228" t="s">
        <v>536</v>
      </c>
    </row>
    <row r="229" spans="3:101">
      <c r="C229" t="s">
        <v>526</v>
      </c>
      <c r="D229" t="s">
        <v>657</v>
      </c>
    </row>
    <row r="230" spans="3:101">
      <c r="C230" t="s">
        <v>527</v>
      </c>
      <c r="D230" t="s">
        <v>528</v>
      </c>
    </row>
    <row r="231" spans="3:101">
      <c r="C231" t="s">
        <v>529</v>
      </c>
      <c r="D231" t="s">
        <v>528</v>
      </c>
    </row>
    <row r="232" spans="3:101">
      <c r="C232" t="s">
        <v>596</v>
      </c>
      <c r="D232" t="s">
        <v>537</v>
      </c>
    </row>
    <row r="233" spans="3:101">
      <c r="C233" t="s">
        <v>597</v>
      </c>
      <c r="D233" t="s">
        <v>598</v>
      </c>
    </row>
    <row r="235" spans="3:101">
      <c r="C235" t="s">
        <v>537</v>
      </c>
      <c r="D235" t="s">
        <v>533</v>
      </c>
      <c r="E235" t="s">
        <v>929</v>
      </c>
      <c r="F235" t="s">
        <v>10</v>
      </c>
      <c r="G235" t="s">
        <v>930</v>
      </c>
      <c r="H235" t="s">
        <v>1961</v>
      </c>
      <c r="I235" t="s">
        <v>1055</v>
      </c>
      <c r="J235" t="s">
        <v>1056</v>
      </c>
      <c r="K235" t="s">
        <v>1058</v>
      </c>
      <c r="L235" t="s">
        <v>1057</v>
      </c>
      <c r="M235" t="s">
        <v>1784</v>
      </c>
      <c r="N235" t="s">
        <v>2141</v>
      </c>
      <c r="O235" t="s">
        <v>1951</v>
      </c>
      <c r="P235" t="s">
        <v>2061</v>
      </c>
      <c r="Q235" t="s">
        <v>1947</v>
      </c>
      <c r="R235" t="s">
        <v>293</v>
      </c>
      <c r="S235" t="s">
        <v>1813</v>
      </c>
      <c r="T235" t="s">
        <v>3</v>
      </c>
      <c r="U235" t="s">
        <v>2063</v>
      </c>
      <c r="V235" t="s">
        <v>2062</v>
      </c>
      <c r="W235" t="s">
        <v>1948</v>
      </c>
      <c r="X235" t="s">
        <v>1960</v>
      </c>
      <c r="Y235" t="s">
        <v>1950</v>
      </c>
      <c r="Z235" t="s">
        <v>1949</v>
      </c>
      <c r="AA235" t="s">
        <v>9</v>
      </c>
      <c r="AB235" t="s">
        <v>1964</v>
      </c>
      <c r="AC235" t="s">
        <v>295</v>
      </c>
      <c r="AD235" t="s">
        <v>7</v>
      </c>
      <c r="AE235" t="s">
        <v>8</v>
      </c>
      <c r="AF235" t="s">
        <v>1188</v>
      </c>
      <c r="AG235" t="s">
        <v>1716</v>
      </c>
      <c r="AH235" t="s">
        <v>6</v>
      </c>
      <c r="AI235" t="s">
        <v>296</v>
      </c>
      <c r="AJ235" t="s">
        <v>297</v>
      </c>
      <c r="AK235" t="s">
        <v>366</v>
      </c>
      <c r="AL235" t="s">
        <v>1719</v>
      </c>
      <c r="AM235" t="s">
        <v>846</v>
      </c>
      <c r="AN235" t="s">
        <v>9</v>
      </c>
      <c r="AO235" t="s">
        <v>303</v>
      </c>
      <c r="AP235" t="s">
        <v>304</v>
      </c>
      <c r="AQ235" t="s">
        <v>976</v>
      </c>
      <c r="AR235" t="s">
        <v>370</v>
      </c>
      <c r="AS235" t="s">
        <v>365</v>
      </c>
      <c r="AT235" t="s">
        <v>952</v>
      </c>
      <c r="AU235" t="s">
        <v>1661</v>
      </c>
      <c r="AV235" t="s">
        <v>1760</v>
      </c>
      <c r="AW235" t="s">
        <v>1761</v>
      </c>
      <c r="AX235" t="s">
        <v>1762</v>
      </c>
      <c r="AY235" t="s">
        <v>1763</v>
      </c>
      <c r="AZ235" t="s">
        <v>1764</v>
      </c>
      <c r="BA235" t="s">
        <v>1765</v>
      </c>
      <c r="BB235" t="s">
        <v>1766</v>
      </c>
      <c r="BC235" t="s">
        <v>1767</v>
      </c>
      <c r="BD235" t="s">
        <v>1809</v>
      </c>
      <c r="BE235" t="s">
        <v>1943</v>
      </c>
      <c r="BF235" t="s">
        <v>1037</v>
      </c>
      <c r="BG235" t="s">
        <v>748</v>
      </c>
      <c r="BH235" t="s">
        <v>1039</v>
      </c>
      <c r="BI235" t="s">
        <v>1040</v>
      </c>
      <c r="BJ235" t="s">
        <v>1807</v>
      </c>
      <c r="BK235" t="s">
        <v>1808</v>
      </c>
      <c r="BL235" t="s">
        <v>749</v>
      </c>
      <c r="BM235" t="s">
        <v>1041</v>
      </c>
      <c r="BN235" t="s">
        <v>750</v>
      </c>
      <c r="BO235" t="s">
        <v>1944</v>
      </c>
      <c r="BP235" t="s">
        <v>1043</v>
      </c>
      <c r="BQ235" t="s">
        <v>1042</v>
      </c>
      <c r="BR235" t="s">
        <v>720</v>
      </c>
      <c r="BS235" t="s">
        <v>1044</v>
      </c>
      <c r="BT235" t="s">
        <v>1045</v>
      </c>
      <c r="BU235" t="s">
        <v>752</v>
      </c>
      <c r="BV235" t="s">
        <v>753</v>
      </c>
      <c r="BW235" t="s">
        <v>1098</v>
      </c>
      <c r="BX235" t="s">
        <v>1097</v>
      </c>
      <c r="BY235" t="s">
        <v>1098</v>
      </c>
      <c r="BZ235" t="s">
        <v>1099</v>
      </c>
      <c r="CA235" t="s">
        <v>1100</v>
      </c>
      <c r="CB235" t="s">
        <v>1101</v>
      </c>
      <c r="CC235" t="s">
        <v>942</v>
      </c>
      <c r="CD235" t="s">
        <v>1649</v>
      </c>
      <c r="CE235" t="s">
        <v>1650</v>
      </c>
      <c r="CF235" t="s">
        <v>1651</v>
      </c>
      <c r="CG235" t="s">
        <v>1652</v>
      </c>
      <c r="CH235" t="s">
        <v>59</v>
      </c>
      <c r="CI235" t="s">
        <v>60</v>
      </c>
      <c r="CJ235" t="s">
        <v>61</v>
      </c>
      <c r="CK235" t="s">
        <v>62</v>
      </c>
      <c r="CL235" t="s">
        <v>63</v>
      </c>
      <c r="CM235" t="s">
        <v>871</v>
      </c>
      <c r="CN235" t="s">
        <v>977</v>
      </c>
      <c r="CO235" t="s">
        <v>1786</v>
      </c>
      <c r="CP235" t="s">
        <v>934</v>
      </c>
      <c r="CQ235" t="s">
        <v>2071</v>
      </c>
      <c r="CR235" t="s">
        <v>284</v>
      </c>
      <c r="CS235" t="s">
        <v>283</v>
      </c>
      <c r="CT235" t="s">
        <v>64</v>
      </c>
      <c r="CU235" t="s">
        <v>285</v>
      </c>
      <c r="CV235" t="s">
        <v>362</v>
      </c>
      <c r="CW235" t="s">
        <v>1660</v>
      </c>
    </row>
    <row r="236" spans="3:101">
      <c r="C236" t="s">
        <v>2161</v>
      </c>
      <c r="D236" t="s">
        <v>41</v>
      </c>
      <c r="E236">
        <v>9.6459138000000006</v>
      </c>
      <c r="F236">
        <v>2.0817705000000002</v>
      </c>
      <c r="G236">
        <v>41.245744000000002</v>
      </c>
      <c r="H236">
        <v>0.43377023999999997</v>
      </c>
      <c r="I236">
        <v>9.8195332999999996E-2</v>
      </c>
      <c r="J236">
        <v>0.61522162000000002</v>
      </c>
      <c r="K236">
        <v>0.46872118000000002</v>
      </c>
      <c r="L236">
        <v>0.32377841000000002</v>
      </c>
      <c r="M236">
        <v>0.37382535</v>
      </c>
      <c r="N236">
        <v>0.31993857999999997</v>
      </c>
      <c r="O236">
        <v>1.2619202E-2</v>
      </c>
      <c r="P236">
        <v>2.8924380999999999E-2</v>
      </c>
      <c r="Q236">
        <v>0.35511542000000001</v>
      </c>
      <c r="R236">
        <v>0.35963353999999997</v>
      </c>
      <c r="S236">
        <v>0.39764159999999998</v>
      </c>
      <c r="T236">
        <v>0.26504651000000001</v>
      </c>
      <c r="U236">
        <v>0.18548274000000001</v>
      </c>
      <c r="V236">
        <v>0.12373983</v>
      </c>
      <c r="W236">
        <v>0</v>
      </c>
      <c r="X236">
        <v>6.4853542E-2</v>
      </c>
      <c r="Y236">
        <v>1.6797889E-2</v>
      </c>
      <c r="Z236">
        <v>3.4774013999999999E-2</v>
      </c>
      <c r="AA236">
        <v>3.1971343E-3</v>
      </c>
      <c r="AB236">
        <v>0.18608032999999999</v>
      </c>
      <c r="AC236">
        <v>0.31627286999999998</v>
      </c>
      <c r="AD236">
        <v>1.9884818</v>
      </c>
      <c r="AE236">
        <v>1.7409274999999999E-3</v>
      </c>
      <c r="AF236">
        <v>2.2635984E-3</v>
      </c>
      <c r="AG236">
        <v>3.50607E-2</v>
      </c>
      <c r="AH236">
        <v>1.3300999000000001E-2</v>
      </c>
      <c r="AI236">
        <v>2.3246963999999998E-2</v>
      </c>
      <c r="AJ236">
        <v>3.7012112E-2</v>
      </c>
      <c r="AK236">
        <v>2.7611265999999998E-3</v>
      </c>
      <c r="AL236">
        <v>4.0108636000000001E-4</v>
      </c>
      <c r="AM236">
        <v>0</v>
      </c>
      <c r="AN236">
        <v>3.1971343E-3</v>
      </c>
      <c r="AO236">
        <v>3.4506388000000001</v>
      </c>
      <c r="AP236">
        <v>1.3227131999999999</v>
      </c>
      <c r="AQ236">
        <v>53.293990999999998</v>
      </c>
      <c r="AR236">
        <v>83.806939999999997</v>
      </c>
      <c r="AS236">
        <v>0.43343827000000001</v>
      </c>
      <c r="AT236">
        <v>2.8380448999999999</v>
      </c>
      <c r="AU236">
        <v>0.49922948</v>
      </c>
      <c r="AV236">
        <v>0.14767589</v>
      </c>
      <c r="AW236">
        <v>1.0290326000000001</v>
      </c>
      <c r="AX236">
        <v>13.53951</v>
      </c>
      <c r="AY236">
        <v>0.51963722999999995</v>
      </c>
      <c r="AZ236">
        <v>0.31007426999999999</v>
      </c>
      <c r="BA236">
        <v>0.55494396000000001</v>
      </c>
      <c r="BB236">
        <v>0.95464654000000004</v>
      </c>
      <c r="BC236">
        <v>0.49802046999999999</v>
      </c>
      <c r="BD236">
        <v>10.409007000000001</v>
      </c>
      <c r="BE236">
        <v>2.6307497999999998</v>
      </c>
      <c r="BF236">
        <v>9.7867908000000003E-2</v>
      </c>
      <c r="BG236">
        <v>0.31078370999999999</v>
      </c>
      <c r="BH236">
        <v>8.7099877000000006E-2</v>
      </c>
      <c r="BI236">
        <v>7.5660721E-2</v>
      </c>
      <c r="BJ236">
        <v>0.22039798999999999</v>
      </c>
      <c r="BK236">
        <v>0.10490062</v>
      </c>
      <c r="BL236">
        <v>3.1691609999999999</v>
      </c>
      <c r="BM236">
        <v>5.6959571000000001E-2</v>
      </c>
      <c r="BN236">
        <v>0.11457458</v>
      </c>
      <c r="BO236">
        <v>0.56102852999999997</v>
      </c>
      <c r="BP236">
        <v>0.38890190000000002</v>
      </c>
      <c r="BQ236">
        <v>5.5972199E-2</v>
      </c>
      <c r="BR236">
        <v>3.7781720999999997E-2</v>
      </c>
      <c r="BS236">
        <v>2.6730121999999999E-2</v>
      </c>
      <c r="BT236">
        <v>2.3989531000000001E-2</v>
      </c>
      <c r="BU236">
        <v>0.13233485</v>
      </c>
      <c r="BV236">
        <v>2.1613264E-2</v>
      </c>
      <c r="BW236">
        <v>0.12896608000000001</v>
      </c>
      <c r="BX236">
        <v>0.33318990999999998</v>
      </c>
      <c r="BY236">
        <v>0.12896608000000001</v>
      </c>
      <c r="BZ236">
        <v>1.133383</v>
      </c>
      <c r="CA236">
        <v>1.0894212999999999</v>
      </c>
      <c r="CB236">
        <v>0.70449611000000001</v>
      </c>
      <c r="CC236">
        <v>1.4752971E-2</v>
      </c>
      <c r="CD236">
        <v>3.5942604999999999</v>
      </c>
      <c r="CE236">
        <v>1.0405958</v>
      </c>
      <c r="CF236">
        <v>1.1573024999999999</v>
      </c>
      <c r="CG236">
        <v>0.76410314999999995</v>
      </c>
      <c r="CH236">
        <v>0.12810348999999999</v>
      </c>
      <c r="CI236">
        <v>0.12987278999999999</v>
      </c>
      <c r="CJ236">
        <v>0.22413593000000001</v>
      </c>
      <c r="CK236">
        <v>1.8603162999999999E-2</v>
      </c>
      <c r="CL236" s="4">
        <v>4.2786E-5</v>
      </c>
      <c r="CM236">
        <v>2.3667086E-4</v>
      </c>
      <c r="CN236">
        <v>1.2737965999999999E-4</v>
      </c>
      <c r="CO236">
        <v>1.4614726E-4</v>
      </c>
      <c r="CP236">
        <v>1.8173319E-4</v>
      </c>
      <c r="CQ236">
        <v>1.2593972000000001E-4</v>
      </c>
      <c r="CR236">
        <v>3.8225557999999999E-3</v>
      </c>
      <c r="CS236">
        <v>1.6111113999999999E-2</v>
      </c>
      <c r="CT236">
        <v>0.59865701999999998</v>
      </c>
      <c r="CU236">
        <v>8.4647187999999998E-2</v>
      </c>
      <c r="CV236">
        <v>0.36480128000000001</v>
      </c>
      <c r="CW236">
        <v>1.5522033</v>
      </c>
    </row>
    <row r="237" spans="3:101">
      <c r="C237" t="s">
        <v>2162</v>
      </c>
      <c r="D237" t="s">
        <v>41</v>
      </c>
      <c r="E237">
        <v>9.6459115999999998</v>
      </c>
      <c r="F237">
        <v>2.0817703000000001</v>
      </c>
      <c r="G237">
        <v>41.245741000000002</v>
      </c>
      <c r="H237">
        <v>0.43377016000000002</v>
      </c>
      <c r="I237">
        <v>9.8195332999999996E-2</v>
      </c>
      <c r="J237">
        <v>0.61522162000000002</v>
      </c>
      <c r="K237">
        <v>0.46872118000000002</v>
      </c>
      <c r="L237">
        <v>0.32377841000000002</v>
      </c>
      <c r="M237">
        <v>0.37382535</v>
      </c>
      <c r="N237">
        <v>0.31993857999999997</v>
      </c>
      <c r="O237">
        <v>1.2618241000000001E-2</v>
      </c>
      <c r="P237">
        <v>2.8919218999999999E-2</v>
      </c>
      <c r="Q237">
        <v>0.35511542000000001</v>
      </c>
      <c r="R237">
        <v>0.35963353999999997</v>
      </c>
      <c r="S237">
        <v>0.39764158999999999</v>
      </c>
      <c r="T237">
        <v>0.26504651000000001</v>
      </c>
      <c r="U237">
        <v>0.18548255</v>
      </c>
      <c r="V237">
        <v>0.12373965000000001</v>
      </c>
      <c r="W237">
        <v>0</v>
      </c>
      <c r="X237">
        <v>6.4853483000000003E-2</v>
      </c>
      <c r="Y237">
        <v>1.6797880000000001E-2</v>
      </c>
      <c r="Z237">
        <v>3.4773997000000001E-2</v>
      </c>
      <c r="AA237">
        <v>3.1971303E-3</v>
      </c>
      <c r="AB237">
        <v>0.1860802</v>
      </c>
      <c r="AC237">
        <v>0.31627283</v>
      </c>
      <c r="AD237">
        <v>1.9884818</v>
      </c>
      <c r="AE237">
        <v>1.7409274999999999E-3</v>
      </c>
      <c r="AF237">
        <v>2.2635983E-3</v>
      </c>
      <c r="AG237">
        <v>3.50607E-2</v>
      </c>
      <c r="AH237">
        <v>1.3300892999999999E-2</v>
      </c>
      <c r="AI237">
        <v>2.3246961E-2</v>
      </c>
      <c r="AJ237">
        <v>3.7012110000000001E-2</v>
      </c>
      <c r="AK237">
        <v>2.7611261000000001E-3</v>
      </c>
      <c r="AL237">
        <v>4.0108635E-4</v>
      </c>
      <c r="AM237">
        <v>0</v>
      </c>
      <c r="AN237">
        <v>3.1971303E-3</v>
      </c>
      <c r="AO237">
        <v>3.4506383999999999</v>
      </c>
      <c r="AP237">
        <v>1.322713</v>
      </c>
      <c r="AQ237">
        <v>53.293982</v>
      </c>
      <c r="AR237">
        <v>83.806855999999996</v>
      </c>
      <c r="AS237">
        <v>0.43343807000000001</v>
      </c>
      <c r="AT237">
        <v>2.8380448</v>
      </c>
      <c r="AU237">
        <v>0.49922933000000003</v>
      </c>
      <c r="AV237">
        <v>0.14767585</v>
      </c>
      <c r="AW237">
        <v>1.0290319000000001</v>
      </c>
      <c r="AX237">
        <v>13.539123999999999</v>
      </c>
      <c r="AY237">
        <v>0.51963713</v>
      </c>
      <c r="AZ237">
        <v>0.31007410000000002</v>
      </c>
      <c r="BA237">
        <v>0.55494337000000005</v>
      </c>
      <c r="BB237">
        <v>0.95460244999999999</v>
      </c>
      <c r="BC237">
        <v>0.49799823999999998</v>
      </c>
      <c r="BD237">
        <v>10.409007000000001</v>
      </c>
      <c r="BE237">
        <v>2.6307475</v>
      </c>
      <c r="BF237">
        <v>9.7867872999999994E-2</v>
      </c>
      <c r="BG237">
        <v>0.3107837</v>
      </c>
      <c r="BH237">
        <v>8.7099865999999998E-2</v>
      </c>
      <c r="BI237">
        <v>7.5660719000000001E-2</v>
      </c>
      <c r="BJ237">
        <v>0.22039791</v>
      </c>
      <c r="BK237">
        <v>0.10490057</v>
      </c>
      <c r="BL237">
        <v>3.1691595000000001</v>
      </c>
      <c r="BM237">
        <v>5.6959546999999999E-2</v>
      </c>
      <c r="BN237">
        <v>0.11457455</v>
      </c>
      <c r="BO237">
        <v>0.56102805</v>
      </c>
      <c r="BP237">
        <v>0.38890174999999999</v>
      </c>
      <c r="BQ237">
        <v>5.5972186E-2</v>
      </c>
      <c r="BR237">
        <v>3.7781716999999999E-2</v>
      </c>
      <c r="BS237">
        <v>2.6730118000000001E-2</v>
      </c>
      <c r="BT237">
        <v>2.3989527E-2</v>
      </c>
      <c r="BU237">
        <v>0.13233481999999999</v>
      </c>
      <c r="BV237">
        <v>2.1613257E-2</v>
      </c>
      <c r="BW237">
        <v>0.12896605</v>
      </c>
      <c r="BX237">
        <v>0.33318985000000001</v>
      </c>
      <c r="BY237">
        <v>0.12896605</v>
      </c>
      <c r="BZ237">
        <v>1.1333820999999999</v>
      </c>
      <c r="CA237">
        <v>1.0894212000000001</v>
      </c>
      <c r="CB237">
        <v>0.70449589000000001</v>
      </c>
      <c r="CC237">
        <v>1.4752965E-2</v>
      </c>
      <c r="CD237">
        <v>3.5942552000000001</v>
      </c>
      <c r="CE237">
        <v>1.0405936</v>
      </c>
      <c r="CF237">
        <v>1.1573009000000001</v>
      </c>
      <c r="CG237">
        <v>0.76409797000000002</v>
      </c>
      <c r="CH237">
        <v>0.12810348999999999</v>
      </c>
      <c r="CI237">
        <v>0.12987278999999999</v>
      </c>
      <c r="CJ237">
        <v>0.22413593000000001</v>
      </c>
      <c r="CK237">
        <v>1.8602695999999998E-2</v>
      </c>
      <c r="CL237" s="4">
        <v>4.2786E-5</v>
      </c>
      <c r="CM237">
        <v>2.3667086E-4</v>
      </c>
      <c r="CN237">
        <v>1.2737965000000001E-4</v>
      </c>
      <c r="CO237">
        <v>1.4614726E-4</v>
      </c>
      <c r="CP237">
        <v>1.8173319E-4</v>
      </c>
      <c r="CQ237">
        <v>1.2593972000000001E-4</v>
      </c>
      <c r="CR237">
        <v>3.8225554999999998E-3</v>
      </c>
      <c r="CS237">
        <v>1.6111113E-2</v>
      </c>
      <c r="CT237">
        <v>0.59865696999999995</v>
      </c>
      <c r="CU237">
        <v>8.4647179000000003E-2</v>
      </c>
      <c r="CV237">
        <v>0.36480127000000001</v>
      </c>
      <c r="CW237">
        <v>1.5522024999999999</v>
      </c>
    </row>
    <row r="238" spans="3:101">
      <c r="C238" t="s">
        <v>2163</v>
      </c>
      <c r="D238" t="s">
        <v>41</v>
      </c>
      <c r="E238">
        <v>9.6459113999999992</v>
      </c>
      <c r="F238">
        <v>2.0817703000000001</v>
      </c>
      <c r="G238">
        <v>41.245741000000002</v>
      </c>
      <c r="H238">
        <v>0.43377015000000002</v>
      </c>
      <c r="I238">
        <v>9.8195332999999996E-2</v>
      </c>
      <c r="J238">
        <v>0.61522162000000002</v>
      </c>
      <c r="K238">
        <v>0.46872118000000002</v>
      </c>
      <c r="L238">
        <v>0.32377841000000002</v>
      </c>
      <c r="M238">
        <v>0.37382535</v>
      </c>
      <c r="N238">
        <v>0.31993857999999997</v>
      </c>
      <c r="O238">
        <v>1.261817E-2</v>
      </c>
      <c r="P238">
        <v>2.8918836999999999E-2</v>
      </c>
      <c r="Q238">
        <v>0.35511542000000001</v>
      </c>
      <c r="R238">
        <v>0.35963353999999997</v>
      </c>
      <c r="S238">
        <v>0.39764158999999999</v>
      </c>
      <c r="T238">
        <v>0.26504651000000001</v>
      </c>
      <c r="U238">
        <v>0.18548254</v>
      </c>
      <c r="V238">
        <v>0.12373964</v>
      </c>
      <c r="W238">
        <v>0</v>
      </c>
      <c r="X238">
        <v>6.4853479000000006E-2</v>
      </c>
      <c r="Y238">
        <v>1.6797880000000001E-2</v>
      </c>
      <c r="Z238">
        <v>3.4773996000000001E-2</v>
      </c>
      <c r="AA238">
        <v>3.1971299999999999E-3</v>
      </c>
      <c r="AB238">
        <v>0.18608019000000001</v>
      </c>
      <c r="AC238">
        <v>0.31627283</v>
      </c>
      <c r="AD238">
        <v>1.9884818</v>
      </c>
      <c r="AE238">
        <v>1.7409274999999999E-3</v>
      </c>
      <c r="AF238">
        <v>2.2635983E-3</v>
      </c>
      <c r="AG238">
        <v>3.50607E-2</v>
      </c>
      <c r="AH238">
        <v>1.3300885E-2</v>
      </c>
      <c r="AI238">
        <v>2.3246961E-2</v>
      </c>
      <c r="AJ238">
        <v>3.7012110000000001E-2</v>
      </c>
      <c r="AK238">
        <v>2.761126E-3</v>
      </c>
      <c r="AL238">
        <v>4.0108635E-4</v>
      </c>
      <c r="AM238">
        <v>0</v>
      </c>
      <c r="AN238">
        <v>3.1971299999999999E-3</v>
      </c>
      <c r="AO238">
        <v>3.4506383999999999</v>
      </c>
      <c r="AP238">
        <v>1.322713</v>
      </c>
      <c r="AQ238">
        <v>53.293981000000002</v>
      </c>
      <c r="AR238">
        <v>83.806849999999997</v>
      </c>
      <c r="AS238">
        <v>0.43343805000000002</v>
      </c>
      <c r="AT238">
        <v>2.8380448</v>
      </c>
      <c r="AU238">
        <v>0.49922931999999998</v>
      </c>
      <c r="AV238">
        <v>0.14767584</v>
      </c>
      <c r="AW238">
        <v>1.0290318000000001</v>
      </c>
      <c r="AX238">
        <v>13.539096000000001</v>
      </c>
      <c r="AY238">
        <v>0.51963711999999995</v>
      </c>
      <c r="AZ238">
        <v>0.31007407999999997</v>
      </c>
      <c r="BA238">
        <v>0.55494332000000002</v>
      </c>
      <c r="BB238">
        <v>0.95459917999999999</v>
      </c>
      <c r="BC238">
        <v>0.49799659000000002</v>
      </c>
      <c r="BD238">
        <v>10.409007000000001</v>
      </c>
      <c r="BE238">
        <v>2.6307474000000002</v>
      </c>
      <c r="BF238">
        <v>9.7867869999999996E-2</v>
      </c>
      <c r="BG238">
        <v>0.3107837</v>
      </c>
      <c r="BH238">
        <v>8.7099864999999999E-2</v>
      </c>
      <c r="BI238">
        <v>7.5660719000000001E-2</v>
      </c>
      <c r="BJ238">
        <v>0.22039790000000001</v>
      </c>
      <c r="BK238">
        <v>0.10490057</v>
      </c>
      <c r="BL238">
        <v>3.1691593999999998</v>
      </c>
      <c r="BM238">
        <v>5.6959545E-2</v>
      </c>
      <c r="BN238">
        <v>0.11457455</v>
      </c>
      <c r="BO238">
        <v>0.56102801000000002</v>
      </c>
      <c r="BP238">
        <v>0.38890174</v>
      </c>
      <c r="BQ238">
        <v>5.5972185000000001E-2</v>
      </c>
      <c r="BR238">
        <v>3.7781716999999999E-2</v>
      </c>
      <c r="BS238">
        <v>2.6730118000000001E-2</v>
      </c>
      <c r="BT238">
        <v>2.3989527E-2</v>
      </c>
      <c r="BU238">
        <v>0.13233481</v>
      </c>
      <c r="BV238">
        <v>2.1613256000000001E-2</v>
      </c>
      <c r="BW238">
        <v>0.12896605</v>
      </c>
      <c r="BX238">
        <v>0.33318985000000001</v>
      </c>
      <c r="BY238">
        <v>0.12896605</v>
      </c>
      <c r="BZ238">
        <v>1.1333819999999999</v>
      </c>
      <c r="CA238">
        <v>1.0894212000000001</v>
      </c>
      <c r="CB238">
        <v>0.70449587999999996</v>
      </c>
      <c r="CC238">
        <v>1.4752965E-2</v>
      </c>
      <c r="CD238">
        <v>3.5942547999999999</v>
      </c>
      <c r="CE238">
        <v>1.0405933999999999</v>
      </c>
      <c r="CF238">
        <v>1.1573007</v>
      </c>
      <c r="CG238">
        <v>0.76409758000000005</v>
      </c>
      <c r="CH238">
        <v>0.12810348999999999</v>
      </c>
      <c r="CI238">
        <v>0.12987278999999999</v>
      </c>
      <c r="CJ238">
        <v>0.22413593000000001</v>
      </c>
      <c r="CK238">
        <v>1.8602661999999999E-2</v>
      </c>
      <c r="CL238" s="4">
        <v>4.2786E-5</v>
      </c>
      <c r="CM238">
        <v>2.3667086E-4</v>
      </c>
      <c r="CN238">
        <v>1.2737965000000001E-4</v>
      </c>
      <c r="CO238">
        <v>1.4614726E-4</v>
      </c>
      <c r="CP238">
        <v>1.8173319E-4</v>
      </c>
      <c r="CQ238">
        <v>1.2593972000000001E-4</v>
      </c>
      <c r="CR238">
        <v>3.8225554000000002E-3</v>
      </c>
      <c r="CS238">
        <v>1.6111113E-2</v>
      </c>
      <c r="CT238">
        <v>0.59865696000000002</v>
      </c>
      <c r="CU238">
        <v>8.4647179000000003E-2</v>
      </c>
      <c r="CV238">
        <v>0.36480127000000001</v>
      </c>
      <c r="CW238">
        <v>1.5522024000000001</v>
      </c>
    </row>
    <row r="239" spans="3:101">
      <c r="C239" t="s">
        <v>2164</v>
      </c>
      <c r="D239" t="s">
        <v>41</v>
      </c>
      <c r="E239">
        <v>6.0014102E-2</v>
      </c>
      <c r="F239">
        <v>1.3501999000000001E-2</v>
      </c>
      <c r="G239">
        <v>0.50608640999999999</v>
      </c>
      <c r="H239">
        <v>1.7700253E-3</v>
      </c>
      <c r="I239">
        <v>1.4415635999999999E-4</v>
      </c>
      <c r="J239">
        <v>6.6136126E-4</v>
      </c>
      <c r="K239">
        <v>3.3599999999999998E-4</v>
      </c>
      <c r="L239">
        <v>3.8267215999999998E-4</v>
      </c>
      <c r="M239">
        <v>2.6489847999999999E-4</v>
      </c>
      <c r="N239">
        <v>2.3901474000000001E-4</v>
      </c>
      <c r="O239" s="4">
        <v>4.6471638999999997E-5</v>
      </c>
      <c r="P239" s="4">
        <v>9.3952033000000001E-5</v>
      </c>
      <c r="Q239">
        <v>1.2420127999999999E-4</v>
      </c>
      <c r="R239">
        <v>8.1998810000000004E-4</v>
      </c>
      <c r="S239">
        <v>1.2604653E-3</v>
      </c>
      <c r="T239">
        <v>1.3975139000000001E-4</v>
      </c>
      <c r="U239">
        <v>1.4577165E-4</v>
      </c>
      <c r="V239" s="4">
        <v>7.6476689000000002E-5</v>
      </c>
      <c r="W239">
        <v>0</v>
      </c>
      <c r="X239">
        <v>1.8953829000000001E-4</v>
      </c>
      <c r="Y239">
        <v>4.1323238999999999E-4</v>
      </c>
      <c r="Z239">
        <v>1.1111980999999999E-4</v>
      </c>
      <c r="AA239" s="4">
        <v>1.3270889E-5</v>
      </c>
      <c r="AB239">
        <v>6.0014894000000004E-4</v>
      </c>
      <c r="AC239">
        <v>1.7447058999999999E-3</v>
      </c>
      <c r="AD239">
        <v>0</v>
      </c>
      <c r="AE239" s="4">
        <v>4.1462574000000001E-6</v>
      </c>
      <c r="AF239" s="4">
        <v>7.0486373999999999E-6</v>
      </c>
      <c r="AG239">
        <v>0</v>
      </c>
      <c r="AH239" s="4">
        <v>1.1322454E-5</v>
      </c>
      <c r="AI239" s="4">
        <v>1.3589602E-5</v>
      </c>
      <c r="AJ239" s="4">
        <v>1.0018668E-5</v>
      </c>
      <c r="AK239" s="4">
        <v>1.3974517E-5</v>
      </c>
      <c r="AL239" s="4">
        <v>1.7537871000000001E-6</v>
      </c>
      <c r="AM239">
        <v>0</v>
      </c>
      <c r="AN239" s="4">
        <v>1.3270889E-5</v>
      </c>
      <c r="AO239">
        <v>2.0852701000000001E-2</v>
      </c>
      <c r="AP239">
        <v>7.3480365999999998E-3</v>
      </c>
      <c r="AQ239">
        <v>7.2313759000000005E-2</v>
      </c>
      <c r="AR239">
        <v>8.0108169000000007E-2</v>
      </c>
      <c r="AS239">
        <v>1.9240024000000001E-3</v>
      </c>
      <c r="AT239">
        <v>3.3140577999999999E-3</v>
      </c>
      <c r="AU239">
        <v>1.9018596000000001E-3</v>
      </c>
      <c r="AV239">
        <v>5.287836E-4</v>
      </c>
      <c r="AW239">
        <v>1.3481427999999999E-3</v>
      </c>
      <c r="AX239">
        <v>3.4954396999999998E-2</v>
      </c>
      <c r="AY239">
        <v>7.5898662000000003E-4</v>
      </c>
      <c r="AZ239">
        <v>5.6989292000000002E-4</v>
      </c>
      <c r="BA239">
        <v>6.4351511999999995E-4</v>
      </c>
      <c r="BB239">
        <v>2.1454640000000001E-3</v>
      </c>
      <c r="BC239">
        <v>1.1084350000000001E-3</v>
      </c>
      <c r="BD239">
        <v>5.3784560000000002E-3</v>
      </c>
      <c r="BE239">
        <v>2.6770676000000002E-3</v>
      </c>
      <c r="BF239">
        <v>1.5029444000000001E-4</v>
      </c>
      <c r="BG239">
        <v>1.7636727000000001E-4</v>
      </c>
      <c r="BH239">
        <v>1.5103619000000001E-4</v>
      </c>
      <c r="BI239">
        <v>1.5021454999999999E-4</v>
      </c>
      <c r="BJ239">
        <v>4.3945159999999998E-4</v>
      </c>
      <c r="BK239">
        <v>2.5044474999999999E-4</v>
      </c>
      <c r="BL239">
        <v>4.1027253999999999E-3</v>
      </c>
      <c r="BM239">
        <v>1.0097854000000001E-4</v>
      </c>
      <c r="BN239">
        <v>1.5266446000000001E-4</v>
      </c>
      <c r="BO239">
        <v>5.7120396000000001E-4</v>
      </c>
      <c r="BP239">
        <v>4.8649123999999999E-4</v>
      </c>
      <c r="BQ239" s="4">
        <v>7.2807616999999997E-5</v>
      </c>
      <c r="BR239">
        <v>1.1218939999999999E-4</v>
      </c>
      <c r="BS239" s="4">
        <v>4.4743979E-5</v>
      </c>
      <c r="BT239" s="4">
        <v>4.0294805E-5</v>
      </c>
      <c r="BU239">
        <v>1.8820792000000001E-4</v>
      </c>
      <c r="BV239" s="4">
        <v>2.5534228E-5</v>
      </c>
      <c r="BW239">
        <v>1.581958E-4</v>
      </c>
      <c r="BX239">
        <v>2.5842509000000003E-4</v>
      </c>
      <c r="BY239">
        <v>1.581958E-4</v>
      </c>
      <c r="BZ239">
        <v>1.1755163E-3</v>
      </c>
      <c r="CA239">
        <v>3.0416006999999998E-2</v>
      </c>
      <c r="CB239">
        <v>2.1249928000000001E-2</v>
      </c>
      <c r="CC239" s="4">
        <v>2.0570023000000001E-5</v>
      </c>
      <c r="CD239">
        <v>7.2424867E-3</v>
      </c>
      <c r="CE239">
        <v>8.9407454999999999E-4</v>
      </c>
      <c r="CF239">
        <v>9.7289211000000004E-4</v>
      </c>
      <c r="CG239">
        <v>1.1361697E-3</v>
      </c>
      <c r="CH239" s="4">
        <v>5.7832594999999999E-5</v>
      </c>
      <c r="CI239" s="4">
        <v>6.8478178999999994E-5</v>
      </c>
      <c r="CJ239">
        <v>1.1447009E-4</v>
      </c>
      <c r="CK239" s="4">
        <v>3.9771923999999997E-5</v>
      </c>
      <c r="CL239" s="4">
        <v>9.3321149999999994E-8</v>
      </c>
      <c r="CM239" s="4">
        <v>2.8727298000000001E-7</v>
      </c>
      <c r="CN239" s="4">
        <v>1.8276457000000001E-7</v>
      </c>
      <c r="CO239" s="4">
        <v>1.3859943999999999E-7</v>
      </c>
      <c r="CP239" s="4">
        <v>1.6526251000000001E-7</v>
      </c>
      <c r="CQ239" s="4">
        <v>1.2889304E-7</v>
      </c>
      <c r="CR239" s="4">
        <v>4.1783076999999999E-6</v>
      </c>
      <c r="CS239" s="4">
        <v>1.7610518999999999E-5</v>
      </c>
      <c r="CT239">
        <v>6.5437193999999998E-4</v>
      </c>
      <c r="CU239" s="4">
        <v>7.4330696999999995E-5</v>
      </c>
      <c r="CV239">
        <v>1.7364949E-4</v>
      </c>
      <c r="CW239">
        <v>3.6319669999999998E-3</v>
      </c>
    </row>
    <row r="240" spans="3:101">
      <c r="C240" t="s">
        <v>2165</v>
      </c>
      <c r="D240" t="s">
        <v>41</v>
      </c>
      <c r="E240">
        <v>9.6459104</v>
      </c>
      <c r="F240">
        <v>2.0817701999999998</v>
      </c>
      <c r="G240">
        <v>41.245739</v>
      </c>
      <c r="H240">
        <v>0.43377010999999999</v>
      </c>
      <c r="I240">
        <v>9.8195332999999996E-2</v>
      </c>
      <c r="J240">
        <v>0.61522162000000002</v>
      </c>
      <c r="K240">
        <v>0.46872118000000002</v>
      </c>
      <c r="L240">
        <v>0.32377841000000002</v>
      </c>
      <c r="M240">
        <v>0.37382535</v>
      </c>
      <c r="N240">
        <v>0.31993857999999997</v>
      </c>
      <c r="O240">
        <v>1.2617707000000001E-2</v>
      </c>
      <c r="P240">
        <v>2.8916351999999999E-2</v>
      </c>
      <c r="Q240">
        <v>0.35511541000000002</v>
      </c>
      <c r="R240">
        <v>0.35963352999999998</v>
      </c>
      <c r="S240">
        <v>0.39764158999999999</v>
      </c>
      <c r="T240">
        <v>0.26504650000000002</v>
      </c>
      <c r="U240">
        <v>0.18548244999999999</v>
      </c>
      <c r="V240">
        <v>0.12373955</v>
      </c>
      <c r="W240">
        <v>0</v>
      </c>
      <c r="X240">
        <v>6.4853450000000007E-2</v>
      </c>
      <c r="Y240">
        <v>1.6797876E-2</v>
      </c>
      <c r="Z240">
        <v>3.4773987999999999E-2</v>
      </c>
      <c r="AA240">
        <v>3.1971281000000001E-3</v>
      </c>
      <c r="AB240">
        <v>0.18608013000000001</v>
      </c>
      <c r="AC240">
        <v>0.31627281000000002</v>
      </c>
      <c r="AD240">
        <v>1.9884818</v>
      </c>
      <c r="AE240">
        <v>1.7409274000000001E-3</v>
      </c>
      <c r="AF240">
        <v>2.2635983E-3</v>
      </c>
      <c r="AG240">
        <v>3.50607E-2</v>
      </c>
      <c r="AH240">
        <v>1.3300833999999999E-2</v>
      </c>
      <c r="AI240">
        <v>2.3246960000000001E-2</v>
      </c>
      <c r="AJ240">
        <v>3.7012109000000001E-2</v>
      </c>
      <c r="AK240">
        <v>2.7611256999999999E-3</v>
      </c>
      <c r="AL240">
        <v>4.0108633999999998E-4</v>
      </c>
      <c r="AM240">
        <v>0</v>
      </c>
      <c r="AN240">
        <v>3.1971281000000001E-3</v>
      </c>
      <c r="AO240">
        <v>3.4506382000000002</v>
      </c>
      <c r="AP240">
        <v>1.322713</v>
      </c>
      <c r="AQ240">
        <v>53.293976999999998</v>
      </c>
      <c r="AR240">
        <v>83.806809999999999</v>
      </c>
      <c r="AS240">
        <v>0.43343796000000001</v>
      </c>
      <c r="AT240">
        <v>2.8380447000000002</v>
      </c>
      <c r="AU240">
        <v>0.49922925000000001</v>
      </c>
      <c r="AV240">
        <v>0.14767582000000001</v>
      </c>
      <c r="AW240">
        <v>1.0290314</v>
      </c>
      <c r="AX240">
        <v>13.53891</v>
      </c>
      <c r="AY240">
        <v>0.51963707000000003</v>
      </c>
      <c r="AZ240">
        <v>0.31007400000000002</v>
      </c>
      <c r="BA240">
        <v>0.55494304000000005</v>
      </c>
      <c r="BB240">
        <v>0.95457795000000001</v>
      </c>
      <c r="BC240">
        <v>0.49798588999999999</v>
      </c>
      <c r="BD240">
        <v>10.409007000000001</v>
      </c>
      <c r="BE240">
        <v>2.6307463000000002</v>
      </c>
      <c r="BF240">
        <v>9.7867853000000005E-2</v>
      </c>
      <c r="BG240">
        <v>0.3107837</v>
      </c>
      <c r="BH240">
        <v>8.7099860000000001E-2</v>
      </c>
      <c r="BI240">
        <v>7.5660717000000002E-2</v>
      </c>
      <c r="BJ240">
        <v>0.22039786</v>
      </c>
      <c r="BK240">
        <v>0.10490054</v>
      </c>
      <c r="BL240">
        <v>3.1691587000000001</v>
      </c>
      <c r="BM240">
        <v>5.6959533E-2</v>
      </c>
      <c r="BN240">
        <v>0.11457452999999999</v>
      </c>
      <c r="BO240">
        <v>0.56102777999999998</v>
      </c>
      <c r="BP240">
        <v>0.38890166999999998</v>
      </c>
      <c r="BQ240">
        <v>5.5972178999999997E-2</v>
      </c>
      <c r="BR240">
        <v>3.7781715E-2</v>
      </c>
      <c r="BS240">
        <v>2.6730116000000002E-2</v>
      </c>
      <c r="BT240">
        <v>2.3989525000000001E-2</v>
      </c>
      <c r="BU240">
        <v>0.1323348</v>
      </c>
      <c r="BV240">
        <v>2.1613252999999999E-2</v>
      </c>
      <c r="BW240">
        <v>0.12896604</v>
      </c>
      <c r="BX240">
        <v>0.33318983000000002</v>
      </c>
      <c r="BY240">
        <v>0.12896604</v>
      </c>
      <c r="BZ240">
        <v>1.1333816000000001</v>
      </c>
      <c r="CA240">
        <v>1.0894211</v>
      </c>
      <c r="CB240">
        <v>0.70449576999999997</v>
      </c>
      <c r="CC240">
        <v>1.4752962E-2</v>
      </c>
      <c r="CD240">
        <v>3.5942523</v>
      </c>
      <c r="CE240">
        <v>1.0405924</v>
      </c>
      <c r="CF240">
        <v>1.1573</v>
      </c>
      <c r="CG240">
        <v>0.76409508999999998</v>
      </c>
      <c r="CH240">
        <v>0.12810348999999999</v>
      </c>
      <c r="CI240">
        <v>0.12987278999999999</v>
      </c>
      <c r="CJ240">
        <v>0.22413593000000001</v>
      </c>
      <c r="CK240">
        <v>1.8602436999999999E-2</v>
      </c>
      <c r="CL240" s="4">
        <v>4.2785998999999997E-5</v>
      </c>
      <c r="CM240">
        <v>2.3667086E-4</v>
      </c>
      <c r="CN240">
        <v>1.2737965000000001E-4</v>
      </c>
      <c r="CO240">
        <v>1.4614726E-4</v>
      </c>
      <c r="CP240">
        <v>1.8173319E-4</v>
      </c>
      <c r="CQ240">
        <v>1.2593972000000001E-4</v>
      </c>
      <c r="CR240">
        <v>3.8225553000000002E-3</v>
      </c>
      <c r="CS240">
        <v>1.6111112E-2</v>
      </c>
      <c r="CT240">
        <v>0.59865694000000003</v>
      </c>
      <c r="CU240">
        <v>8.4647174000000006E-2</v>
      </c>
      <c r="CV240">
        <v>0.36480127000000001</v>
      </c>
      <c r="CW240">
        <v>1.5522020000000001</v>
      </c>
    </row>
    <row r="241" spans="3:101">
      <c r="C241" t="s">
        <v>2166</v>
      </c>
      <c r="D241" t="s">
        <v>41</v>
      </c>
      <c r="E241" s="4">
        <v>7.5332559999999996E-7</v>
      </c>
      <c r="F241" s="4">
        <v>6.4541068999999994E-8</v>
      </c>
      <c r="G241" s="4">
        <v>9.7969113999999996E-7</v>
      </c>
      <c r="H241" s="4">
        <v>2.7636435E-8</v>
      </c>
      <c r="I241" s="4">
        <v>5.9625007999999999E-9</v>
      </c>
      <c r="J241" s="4">
        <v>8.0666360000000001E-9</v>
      </c>
      <c r="K241" s="4">
        <v>8.2685608000000001E-9</v>
      </c>
      <c r="L241" s="4">
        <v>8.9989259999999996E-9</v>
      </c>
      <c r="M241" s="4">
        <v>7.1437174000000002E-9</v>
      </c>
      <c r="N241" s="4">
        <v>7.9428935999999996E-9</v>
      </c>
      <c r="O241" s="4">
        <v>3.2451863999999999E-7</v>
      </c>
      <c r="P241" s="4">
        <v>1.7420115E-6</v>
      </c>
      <c r="Q241" s="4">
        <v>1.6947678000000001E-9</v>
      </c>
      <c r="R241" s="4">
        <v>1.7160291E-9</v>
      </c>
      <c r="S241" s="4">
        <v>3.6630230000000002E-9</v>
      </c>
      <c r="T241" s="4">
        <v>1.360786E-9</v>
      </c>
      <c r="U241" s="4">
        <v>6.4381402000000002E-8</v>
      </c>
      <c r="V241" s="4">
        <v>6.2030222999999995E-8</v>
      </c>
      <c r="W241">
        <v>0</v>
      </c>
      <c r="X241" s="4">
        <v>2.0047503999999999E-8</v>
      </c>
      <c r="Y241" s="4">
        <v>2.9070507E-9</v>
      </c>
      <c r="Z241" s="4">
        <v>5.6754103999999997E-9</v>
      </c>
      <c r="AA241" s="4">
        <v>1.3457143E-9</v>
      </c>
      <c r="AB241" s="4">
        <v>4.2164617000000001E-8</v>
      </c>
      <c r="AC241" s="4">
        <v>1.2496691E-8</v>
      </c>
      <c r="AD241">
        <v>0</v>
      </c>
      <c r="AE241" s="4">
        <v>1.6559584000000001E-11</v>
      </c>
      <c r="AF241" s="4">
        <v>2.8150571999999998E-11</v>
      </c>
      <c r="AG241">
        <v>0</v>
      </c>
      <c r="AH241" s="4">
        <v>3.5699460000000002E-8</v>
      </c>
      <c r="AI241" s="4">
        <v>1.0010563999999999E-9</v>
      </c>
      <c r="AJ241" s="4">
        <v>6.9170328999999997E-10</v>
      </c>
      <c r="AK241" s="4">
        <v>1.8926943E-10</v>
      </c>
      <c r="AL241" s="4">
        <v>5.5109166999999998E-12</v>
      </c>
      <c r="AM241">
        <v>0</v>
      </c>
      <c r="AN241" s="4">
        <v>1.3457143E-9</v>
      </c>
      <c r="AO241" s="4">
        <v>1.2003066999999999E-7</v>
      </c>
      <c r="AP241" s="4">
        <v>4.4662093E-8</v>
      </c>
      <c r="AQ241" s="4">
        <v>3.0572251000000001E-6</v>
      </c>
      <c r="AR241" s="4">
        <v>2.8351709999999999E-5</v>
      </c>
      <c r="AS241" s="4">
        <v>6.8173877000000003E-8</v>
      </c>
      <c r="AT241" s="4">
        <v>2.6700245E-8</v>
      </c>
      <c r="AU241" s="4">
        <v>4.9650340999999997E-8</v>
      </c>
      <c r="AV241" s="4">
        <v>1.6051304E-8</v>
      </c>
      <c r="AW241" s="4">
        <v>2.5979106000000001E-7</v>
      </c>
      <c r="AX241">
        <v>1.2859500000000001E-4</v>
      </c>
      <c r="AY241" s="4">
        <v>3.4151077999999998E-8</v>
      </c>
      <c r="AZ241" s="4">
        <v>5.6663339000000001E-8</v>
      </c>
      <c r="BA241" s="4">
        <v>1.9835573999999999E-7</v>
      </c>
      <c r="BB241" s="4">
        <v>1.4708167000000001E-5</v>
      </c>
      <c r="BC241" s="4">
        <v>7.4158202999999997E-6</v>
      </c>
      <c r="BD241" s="4">
        <v>5.0009226999999998E-8</v>
      </c>
      <c r="BE241" s="4">
        <v>7.6025253000000001E-7</v>
      </c>
      <c r="BF241" s="4">
        <v>1.1905591E-8</v>
      </c>
      <c r="BG241" s="4">
        <v>4.2121443999999996E-9</v>
      </c>
      <c r="BH241" s="4">
        <v>3.8149277999999999E-9</v>
      </c>
      <c r="BI241" s="4">
        <v>8.7187314999999998E-10</v>
      </c>
      <c r="BJ241" s="4">
        <v>2.7112477999999998E-8</v>
      </c>
      <c r="BK241" s="4">
        <v>1.6421209999999999E-8</v>
      </c>
      <c r="BL241" s="4">
        <v>4.9241457999999999E-7</v>
      </c>
      <c r="BM241" s="4">
        <v>8.2330795000000005E-9</v>
      </c>
      <c r="BN241" s="4">
        <v>1.0906282000000001E-8</v>
      </c>
      <c r="BO241" s="4">
        <v>1.6226519999999999E-7</v>
      </c>
      <c r="BP241" s="4">
        <v>5.1131890999999999E-8</v>
      </c>
      <c r="BQ241" s="4">
        <v>4.332627E-9</v>
      </c>
      <c r="BR241" s="4">
        <v>1.2924044E-9</v>
      </c>
      <c r="BS241" s="4">
        <v>1.3227730000000001E-9</v>
      </c>
      <c r="BT241" s="4">
        <v>1.1697116E-9</v>
      </c>
      <c r="BU241" s="4">
        <v>1.2584008E-8</v>
      </c>
      <c r="BV241" s="4">
        <v>2.3694139E-9</v>
      </c>
      <c r="BW241" s="4">
        <v>1.0060904999999999E-8</v>
      </c>
      <c r="BX241" s="4">
        <v>1.7819609000000001E-8</v>
      </c>
      <c r="BY241" s="4">
        <v>1.0060904999999999E-8</v>
      </c>
      <c r="BZ241" s="4">
        <v>3.1176971E-7</v>
      </c>
      <c r="CA241" s="4">
        <v>5.0492522000000001E-8</v>
      </c>
      <c r="CB241" s="4">
        <v>7.2445987000000005E-8</v>
      </c>
      <c r="CC241" s="4">
        <v>1.8272836E-9</v>
      </c>
      <c r="CD241" s="4">
        <v>1.7827385999999999E-6</v>
      </c>
      <c r="CE241" s="4">
        <v>7.3821069000000001E-7</v>
      </c>
      <c r="CF241" s="4">
        <v>5.4235296000000003E-7</v>
      </c>
      <c r="CG241" s="4">
        <v>1.7497912E-6</v>
      </c>
      <c r="CH241" s="4">
        <v>5.0497248000000005E-10</v>
      </c>
      <c r="CI241" s="4">
        <v>6.6678513999999999E-10</v>
      </c>
      <c r="CJ241" s="4">
        <v>8.9984955000000001E-10</v>
      </c>
      <c r="CK241" s="4">
        <v>1.5751388999999999E-7</v>
      </c>
      <c r="CL241" s="4">
        <v>2.4581248E-12</v>
      </c>
      <c r="CM241" s="4">
        <v>3.2471756000000002E-12</v>
      </c>
      <c r="CN241" s="4">
        <v>3.5967843E-12</v>
      </c>
      <c r="CO241" s="4">
        <v>2.9010810999999998E-12</v>
      </c>
      <c r="CP241" s="4">
        <v>3.3228973E-12</v>
      </c>
      <c r="CQ241" s="4">
        <v>3.2007720999999999E-12</v>
      </c>
      <c r="CR241" s="4">
        <v>1.1958758999999999E-10</v>
      </c>
      <c r="CS241" s="4">
        <v>5.0403171999999998E-10</v>
      </c>
      <c r="CT241" s="4">
        <v>1.8728818E-8</v>
      </c>
      <c r="CU241" s="4">
        <v>3.0311108000000001E-9</v>
      </c>
      <c r="CV241" s="4">
        <v>1.9122951000000002E-9</v>
      </c>
      <c r="CW241" s="4">
        <v>2.7314490999999999E-7</v>
      </c>
    </row>
    <row r="242" spans="3:101">
      <c r="C242" t="s">
        <v>2167</v>
      </c>
      <c r="D242" t="s">
        <v>41</v>
      </c>
      <c r="E242" s="4">
        <v>6.5484047000000002E-7</v>
      </c>
      <c r="F242" s="4">
        <v>5.6103370000000002E-8</v>
      </c>
      <c r="G242" s="4">
        <v>8.5161256999999999E-7</v>
      </c>
      <c r="H242" s="4">
        <v>2.4023419000000001E-8</v>
      </c>
      <c r="I242" s="4">
        <v>8.1797982999999997E-11</v>
      </c>
      <c r="J242" s="4">
        <v>2.9726971999999999E-10</v>
      </c>
      <c r="K242" s="4">
        <v>2.5506326999999998E-10</v>
      </c>
      <c r="L242" s="4">
        <v>3.4952761999999998E-10</v>
      </c>
      <c r="M242" s="4">
        <v>2.7431642000000002E-10</v>
      </c>
      <c r="N242" s="4">
        <v>2.7754639999999998E-10</v>
      </c>
      <c r="O242" s="4">
        <v>2.8209304000000002E-7</v>
      </c>
      <c r="P242" s="4">
        <v>1.5142715E-6</v>
      </c>
      <c r="Q242" s="4">
        <v>1.4732063E-9</v>
      </c>
      <c r="R242" s="4">
        <v>1.4916879E-9</v>
      </c>
      <c r="S242" s="4">
        <v>3.1841439000000001E-9</v>
      </c>
      <c r="T242" s="4">
        <v>1.1828868000000001E-9</v>
      </c>
      <c r="U242" s="4">
        <v>5.596457E-8</v>
      </c>
      <c r="V242" s="4">
        <v>5.3920768999999999E-8</v>
      </c>
      <c r="W242">
        <v>0</v>
      </c>
      <c r="X242" s="4">
        <v>1.7426622E-8</v>
      </c>
      <c r="Y242" s="4">
        <v>2.5270006999999999E-9</v>
      </c>
      <c r="Z242" s="4">
        <v>4.9334425999999999E-9</v>
      </c>
      <c r="AA242" s="4">
        <v>1.1697838E-9</v>
      </c>
      <c r="AB242" s="4">
        <v>3.6652275000000001E-8</v>
      </c>
      <c r="AC242" s="4">
        <v>1.0862971E-8</v>
      </c>
      <c r="AD242">
        <v>0</v>
      </c>
      <c r="AE242" s="4">
        <v>1.439469E-11</v>
      </c>
      <c r="AF242" s="4">
        <v>2.4470347000000001E-11</v>
      </c>
      <c r="AG242">
        <v>0</v>
      </c>
      <c r="AH242" s="4">
        <v>3.1032330000000002E-8</v>
      </c>
      <c r="AI242" s="4">
        <v>8.7018437000000002E-10</v>
      </c>
      <c r="AJ242" s="4">
        <v>6.0127424E-10</v>
      </c>
      <c r="AK242" s="4">
        <v>1.6452552E-10</v>
      </c>
      <c r="AL242" s="4">
        <v>4.7904583E-12</v>
      </c>
      <c r="AM242">
        <v>0</v>
      </c>
      <c r="AN242" s="4">
        <v>1.1697838E-9</v>
      </c>
      <c r="AO242" s="4">
        <v>1.0433879E-7</v>
      </c>
      <c r="AP242" s="4">
        <v>3.8823308000000002E-8</v>
      </c>
      <c r="AQ242" s="4">
        <v>2.6575576000000001E-6</v>
      </c>
      <c r="AR242" s="4">
        <v>2.4645181E-5</v>
      </c>
      <c r="AS242" s="4">
        <v>5.9261244000000002E-8</v>
      </c>
      <c r="AT242" s="4">
        <v>2.3209637000000001E-8</v>
      </c>
      <c r="AU242" s="4">
        <v>4.3159364E-8</v>
      </c>
      <c r="AV242" s="4">
        <v>1.3952859000000001E-8</v>
      </c>
      <c r="AW242" s="4">
        <v>2.2582757E-7</v>
      </c>
      <c r="AX242">
        <v>1.1408785E-4</v>
      </c>
      <c r="AY242" s="4">
        <v>2.9686383000000002E-8</v>
      </c>
      <c r="AZ242" s="4">
        <v>4.9255524999999999E-8</v>
      </c>
      <c r="BA242" s="4">
        <v>1.7242392999999999E-7</v>
      </c>
      <c r="BB242" s="4">
        <v>1.3050401000000001E-5</v>
      </c>
      <c r="BC242" s="4">
        <v>6.5795157000000001E-6</v>
      </c>
      <c r="BD242" s="4">
        <v>5.6429355999999998E-9</v>
      </c>
      <c r="BE242" s="4">
        <v>6.6086177000000002E-7</v>
      </c>
      <c r="BF242" s="4">
        <v>1.0349128E-8</v>
      </c>
      <c r="BG242" s="4">
        <v>3.6614765000000002E-9</v>
      </c>
      <c r="BH242" s="4">
        <v>3.3161883999999998E-9</v>
      </c>
      <c r="BI242" s="4">
        <v>7.5789083999999997E-10</v>
      </c>
      <c r="BJ242" s="4">
        <v>2.3567964999999998E-8</v>
      </c>
      <c r="BK242" s="4">
        <v>1.4274403E-8</v>
      </c>
      <c r="BL242" s="4">
        <v>4.2803936000000002E-7</v>
      </c>
      <c r="BM242" s="4">
        <v>7.1567379E-9</v>
      </c>
      <c r="BN242" s="4">
        <v>9.4804654000000006E-9</v>
      </c>
      <c r="BO242" s="4">
        <v>1.4105164E-7</v>
      </c>
      <c r="BP242" s="4">
        <v>4.4447223000000002E-8</v>
      </c>
      <c r="BQ242" s="4">
        <v>3.7662063E-9</v>
      </c>
      <c r="BR242" s="4">
        <v>1.1234442999999999E-9</v>
      </c>
      <c r="BS242" s="4">
        <v>1.1498421000000001E-9</v>
      </c>
      <c r="BT242" s="4">
        <v>1.0167910000000001E-9</v>
      </c>
      <c r="BU242" s="4">
        <v>1.0938853000000001E-8</v>
      </c>
      <c r="BV242" s="4">
        <v>2.0596514E-9</v>
      </c>
      <c r="BW242" s="4">
        <v>8.7456056999999994E-9</v>
      </c>
      <c r="BX242" s="4">
        <v>1.5489985E-8</v>
      </c>
      <c r="BY242" s="4">
        <v>8.7456056999999994E-9</v>
      </c>
      <c r="BZ242" s="4">
        <v>2.7101085E-7</v>
      </c>
      <c r="CA242" s="4">
        <v>4.3891444000000002E-8</v>
      </c>
      <c r="CB242" s="4">
        <v>6.2974846999999994E-8</v>
      </c>
      <c r="CC242" s="4">
        <v>1.5883957999999999E-9</v>
      </c>
      <c r="CD242" s="4">
        <v>1.5496742E-6</v>
      </c>
      <c r="CE242" s="4">
        <v>6.4170152000000004E-7</v>
      </c>
      <c r="CF242" s="4">
        <v>4.7145016999999998E-7</v>
      </c>
      <c r="CG242" s="4">
        <v>1.5210342000000001E-6</v>
      </c>
      <c r="CH242" s="4">
        <v>4.3895624E-10</v>
      </c>
      <c r="CI242" s="4">
        <v>5.7961450999999996E-10</v>
      </c>
      <c r="CJ242" s="4">
        <v>7.8221007000000003E-10</v>
      </c>
      <c r="CK242" s="4">
        <v>1.3692148000000001E-7</v>
      </c>
      <c r="CL242" s="4">
        <v>2.2381392999999999E-13</v>
      </c>
      <c r="CM242" s="4">
        <v>3.0461583000000002E-13</v>
      </c>
      <c r="CN242" s="4">
        <v>3.2421254000000001E-13</v>
      </c>
      <c r="CO242" s="4">
        <v>2.9600833999999999E-13</v>
      </c>
      <c r="CP242" s="4">
        <v>2.8878841E-13</v>
      </c>
      <c r="CQ242" s="4">
        <v>2.9721959000000001E-13</v>
      </c>
      <c r="CR242" s="4">
        <v>1.0395345E-10</v>
      </c>
      <c r="CS242" s="4">
        <v>4.3813773000000002E-10</v>
      </c>
      <c r="CT242" s="4">
        <v>1.6280328E-8</v>
      </c>
      <c r="CU242" s="4">
        <v>2.6348701000000001E-9</v>
      </c>
      <c r="CV242" s="4">
        <v>1.6622954999999999E-9</v>
      </c>
      <c r="CW242" s="4">
        <v>2.3743562999999999E-7</v>
      </c>
    </row>
    <row r="249" spans="3:101">
      <c r="C249" s="169"/>
    </row>
    <row r="250" spans="3:101">
      <c r="C250" t="s">
        <v>570</v>
      </c>
      <c r="D250" t="s">
        <v>571</v>
      </c>
    </row>
    <row r="251" spans="3:101">
      <c r="C251" t="s">
        <v>572</v>
      </c>
      <c r="D251" t="s">
        <v>573</v>
      </c>
    </row>
    <row r="252" spans="3:101" hidden="1" outlineLevel="1">
      <c r="C252" t="s">
        <v>574</v>
      </c>
      <c r="D252" t="s">
        <v>2074</v>
      </c>
    </row>
    <row r="253" spans="3:101" hidden="1" outlineLevel="1">
      <c r="C253" t="s">
        <v>575</v>
      </c>
      <c r="D253" t="s">
        <v>2075</v>
      </c>
    </row>
    <row r="254" spans="3:101" hidden="1" outlineLevel="1">
      <c r="C254" t="s">
        <v>576</v>
      </c>
      <c r="D254" t="s">
        <v>2076</v>
      </c>
    </row>
    <row r="255" spans="3:101" hidden="1" outlineLevel="1">
      <c r="C255" t="s">
        <v>577</v>
      </c>
      <c r="D255" t="s">
        <v>2077</v>
      </c>
    </row>
    <row r="256" spans="3:101" hidden="1" outlineLevel="1">
      <c r="C256" t="s">
        <v>578</v>
      </c>
      <c r="D256" t="s">
        <v>1051</v>
      </c>
    </row>
    <row r="257" spans="3:4" hidden="1" outlineLevel="1">
      <c r="C257" t="s">
        <v>579</v>
      </c>
      <c r="D257" t="s">
        <v>1052</v>
      </c>
    </row>
    <row r="258" spans="3:4" hidden="1" outlineLevel="1">
      <c r="C258" t="s">
        <v>580</v>
      </c>
      <c r="D258" t="s">
        <v>1054</v>
      </c>
    </row>
    <row r="259" spans="3:4" hidden="1" outlineLevel="1">
      <c r="C259" t="s">
        <v>581</v>
      </c>
      <c r="D259" t="s">
        <v>1053</v>
      </c>
    </row>
    <row r="260" spans="3:4" hidden="1" outlineLevel="1">
      <c r="C260" t="s">
        <v>582</v>
      </c>
      <c r="D260" t="s">
        <v>1798</v>
      </c>
    </row>
    <row r="261" spans="3:4" hidden="1" outlineLevel="1">
      <c r="C261" t="s">
        <v>583</v>
      </c>
      <c r="D261" t="s">
        <v>2078</v>
      </c>
    </row>
    <row r="262" spans="3:4" hidden="1" outlineLevel="1">
      <c r="C262" t="s">
        <v>584</v>
      </c>
      <c r="D262" t="s">
        <v>2079</v>
      </c>
    </row>
    <row r="263" spans="3:4" hidden="1" outlineLevel="1">
      <c r="C263" t="s">
        <v>585</v>
      </c>
      <c r="D263" t="s">
        <v>2080</v>
      </c>
    </row>
    <row r="264" spans="3:4" hidden="1" outlineLevel="1">
      <c r="C264" t="s">
        <v>586</v>
      </c>
      <c r="D264" t="s">
        <v>2081</v>
      </c>
    </row>
    <row r="265" spans="3:4" hidden="1" outlineLevel="1">
      <c r="C265" t="s">
        <v>587</v>
      </c>
      <c r="D265" t="s">
        <v>608</v>
      </c>
    </row>
    <row r="266" spans="3:4" hidden="1" outlineLevel="1">
      <c r="C266" t="s">
        <v>588</v>
      </c>
      <c r="D266" t="s">
        <v>2082</v>
      </c>
    </row>
    <row r="267" spans="3:4" hidden="1" outlineLevel="1">
      <c r="C267" t="s">
        <v>589</v>
      </c>
      <c r="D267" t="s">
        <v>2083</v>
      </c>
    </row>
    <row r="268" spans="3:4" hidden="1" outlineLevel="1">
      <c r="C268" t="s">
        <v>590</v>
      </c>
      <c r="D268" t="s">
        <v>2084</v>
      </c>
    </row>
    <row r="269" spans="3:4" hidden="1" outlineLevel="1">
      <c r="C269" t="s">
        <v>591</v>
      </c>
      <c r="D269" t="s">
        <v>2085</v>
      </c>
    </row>
    <row r="270" spans="3:4" hidden="1" outlineLevel="1">
      <c r="C270" t="s">
        <v>592</v>
      </c>
      <c r="D270" t="s">
        <v>2086</v>
      </c>
    </row>
    <row r="271" spans="3:4" hidden="1" outlineLevel="1">
      <c r="C271" t="s">
        <v>593</v>
      </c>
      <c r="D271" t="s">
        <v>2087</v>
      </c>
    </row>
    <row r="272" spans="3:4" hidden="1" outlineLevel="1">
      <c r="C272" t="s">
        <v>620</v>
      </c>
      <c r="D272" t="s">
        <v>2088</v>
      </c>
    </row>
    <row r="273" spans="3:4" hidden="1" outlineLevel="1">
      <c r="C273" t="s">
        <v>622</v>
      </c>
      <c r="D273" t="s">
        <v>2089</v>
      </c>
    </row>
    <row r="274" spans="3:4" hidden="1" outlineLevel="1">
      <c r="C274" t="s">
        <v>623</v>
      </c>
      <c r="D274" t="s">
        <v>618</v>
      </c>
    </row>
    <row r="275" spans="3:4" hidden="1" outlineLevel="1">
      <c r="C275" t="s">
        <v>625</v>
      </c>
      <c r="D275" t="s">
        <v>2090</v>
      </c>
    </row>
    <row r="276" spans="3:4" hidden="1" outlineLevel="1">
      <c r="C276" t="s">
        <v>917</v>
      </c>
      <c r="D276" t="s">
        <v>2091</v>
      </c>
    </row>
    <row r="277" spans="3:4" hidden="1" outlineLevel="1">
      <c r="C277" t="s">
        <v>950</v>
      </c>
      <c r="D277" t="s">
        <v>611</v>
      </c>
    </row>
    <row r="278" spans="3:4" hidden="1" outlineLevel="1">
      <c r="C278" t="s">
        <v>972</v>
      </c>
      <c r="D278" t="s">
        <v>612</v>
      </c>
    </row>
    <row r="279" spans="3:4" hidden="1" outlineLevel="1">
      <c r="C279" t="s">
        <v>1129</v>
      </c>
      <c r="D279" t="s">
        <v>1187</v>
      </c>
    </row>
    <row r="280" spans="3:4" hidden="1" outlineLevel="1">
      <c r="C280" t="s">
        <v>1647</v>
      </c>
      <c r="D280" t="s">
        <v>1715</v>
      </c>
    </row>
    <row r="281" spans="3:4" hidden="1" outlineLevel="1">
      <c r="C281" t="s">
        <v>1648</v>
      </c>
      <c r="D281" t="s">
        <v>613</v>
      </c>
    </row>
    <row r="282" spans="3:4" hidden="1" outlineLevel="1">
      <c r="C282" t="s">
        <v>1718</v>
      </c>
      <c r="D282" t="s">
        <v>614</v>
      </c>
    </row>
    <row r="283" spans="3:4" hidden="1" outlineLevel="1">
      <c r="C283" t="s">
        <v>1753</v>
      </c>
      <c r="D283" t="s">
        <v>615</v>
      </c>
    </row>
    <row r="284" spans="3:4" hidden="1" outlineLevel="1">
      <c r="C284" t="s">
        <v>1754</v>
      </c>
      <c r="D284" t="s">
        <v>616</v>
      </c>
    </row>
    <row r="285" spans="3:4" hidden="1" outlineLevel="1">
      <c r="C285" t="s">
        <v>1755</v>
      </c>
      <c r="D285" t="s">
        <v>1717</v>
      </c>
    </row>
    <row r="286" spans="3:4" hidden="1" outlineLevel="1">
      <c r="C286" t="s">
        <v>1756</v>
      </c>
      <c r="D286" t="s">
        <v>835</v>
      </c>
    </row>
    <row r="287" spans="3:4" hidden="1" outlineLevel="1">
      <c r="C287" t="s">
        <v>1757</v>
      </c>
      <c r="D287" t="s">
        <v>618</v>
      </c>
    </row>
    <row r="288" spans="3:4" hidden="1" outlineLevel="1">
      <c r="C288" t="s">
        <v>1758</v>
      </c>
      <c r="D288" t="s">
        <v>619</v>
      </c>
    </row>
    <row r="289" spans="3:4" hidden="1" outlineLevel="1">
      <c r="C289" t="s">
        <v>1759</v>
      </c>
      <c r="D289" t="s">
        <v>621</v>
      </c>
    </row>
    <row r="290" spans="3:4" hidden="1" outlineLevel="1">
      <c r="C290" t="s">
        <v>1806</v>
      </c>
      <c r="D290" t="s">
        <v>2092</v>
      </c>
    </row>
    <row r="291" spans="3:4" hidden="1" outlineLevel="1">
      <c r="C291" t="s">
        <v>1893</v>
      </c>
      <c r="D291" t="s">
        <v>624</v>
      </c>
    </row>
    <row r="292" spans="3:4" hidden="1" outlineLevel="1">
      <c r="C292" t="s">
        <v>1894</v>
      </c>
      <c r="D292" t="s">
        <v>2093</v>
      </c>
    </row>
    <row r="293" spans="3:4" hidden="1" outlineLevel="1">
      <c r="C293" t="s">
        <v>1895</v>
      </c>
      <c r="D293" t="s">
        <v>951</v>
      </c>
    </row>
    <row r="294" spans="3:4" hidden="1" outlineLevel="1">
      <c r="C294" t="s">
        <v>1896</v>
      </c>
      <c r="D294" t="s">
        <v>1681</v>
      </c>
    </row>
    <row r="295" spans="3:4" hidden="1" outlineLevel="1">
      <c r="C295" t="s">
        <v>1897</v>
      </c>
      <c r="D295" t="s">
        <v>2094</v>
      </c>
    </row>
    <row r="296" spans="3:4" hidden="1" outlineLevel="1">
      <c r="C296" t="s">
        <v>1898</v>
      </c>
      <c r="D296" t="s">
        <v>2095</v>
      </c>
    </row>
    <row r="297" spans="3:4" hidden="1" outlineLevel="1">
      <c r="C297" t="s">
        <v>1899</v>
      </c>
      <c r="D297" t="s">
        <v>2096</v>
      </c>
    </row>
    <row r="298" spans="3:4" hidden="1" outlineLevel="1">
      <c r="C298" t="s">
        <v>1900</v>
      </c>
      <c r="D298" t="s">
        <v>2097</v>
      </c>
    </row>
    <row r="299" spans="3:4" hidden="1" outlineLevel="1">
      <c r="C299" t="s">
        <v>1901</v>
      </c>
      <c r="D299" t="s">
        <v>2098</v>
      </c>
    </row>
    <row r="300" spans="3:4" hidden="1" outlineLevel="1">
      <c r="C300" t="s">
        <v>1902</v>
      </c>
      <c r="D300" t="s">
        <v>2099</v>
      </c>
    </row>
    <row r="301" spans="3:4" hidden="1" outlineLevel="1">
      <c r="C301" t="s">
        <v>1903</v>
      </c>
      <c r="D301" t="s">
        <v>2100</v>
      </c>
    </row>
    <row r="302" spans="3:4" hidden="1" outlineLevel="1">
      <c r="C302" t="s">
        <v>1904</v>
      </c>
      <c r="D302" t="s">
        <v>2101</v>
      </c>
    </row>
    <row r="303" spans="3:4" hidden="1" outlineLevel="1">
      <c r="C303" t="s">
        <v>1905</v>
      </c>
      <c r="D303" t="s">
        <v>2102</v>
      </c>
    </row>
    <row r="304" spans="3:4" hidden="1" outlineLevel="1">
      <c r="C304" t="s">
        <v>1906</v>
      </c>
      <c r="D304" t="s">
        <v>2103</v>
      </c>
    </row>
    <row r="305" spans="3:4" hidden="1" outlineLevel="1">
      <c r="C305" t="s">
        <v>1907</v>
      </c>
      <c r="D305" t="s">
        <v>2104</v>
      </c>
    </row>
    <row r="306" spans="3:4" hidden="1" outlineLevel="1">
      <c r="C306" t="s">
        <v>1908</v>
      </c>
      <c r="D306" t="s">
        <v>2105</v>
      </c>
    </row>
    <row r="307" spans="3:4" hidden="1" outlineLevel="1">
      <c r="C307" t="s">
        <v>1909</v>
      </c>
      <c r="D307" t="s">
        <v>2106</v>
      </c>
    </row>
    <row r="308" spans="3:4" hidden="1" outlineLevel="1">
      <c r="C308" t="s">
        <v>1910</v>
      </c>
      <c r="D308" t="s">
        <v>2107</v>
      </c>
    </row>
    <row r="309" spans="3:4" hidden="1" outlineLevel="1">
      <c r="C309" t="s">
        <v>1911</v>
      </c>
      <c r="D309" t="s">
        <v>2108</v>
      </c>
    </row>
    <row r="310" spans="3:4" hidden="1" outlineLevel="1">
      <c r="C310" t="s">
        <v>1912</v>
      </c>
      <c r="D310" t="s">
        <v>2109</v>
      </c>
    </row>
    <row r="311" spans="3:4" hidden="1" outlineLevel="1">
      <c r="C311" t="s">
        <v>1913</v>
      </c>
      <c r="D311" t="s">
        <v>2110</v>
      </c>
    </row>
    <row r="312" spans="3:4" hidden="1" outlineLevel="1">
      <c r="C312" t="s">
        <v>1914</v>
      </c>
      <c r="D312" t="s">
        <v>2111</v>
      </c>
    </row>
    <row r="313" spans="3:4" hidden="1" outlineLevel="1">
      <c r="C313" t="s">
        <v>1915</v>
      </c>
      <c r="D313" t="s">
        <v>2112</v>
      </c>
    </row>
    <row r="314" spans="3:4" hidden="1" outlineLevel="1">
      <c r="C314" t="s">
        <v>1916</v>
      </c>
      <c r="D314" t="s">
        <v>2113</v>
      </c>
    </row>
    <row r="315" spans="3:4" hidden="1" outlineLevel="1">
      <c r="C315" t="s">
        <v>1917</v>
      </c>
      <c r="D315" t="s">
        <v>2114</v>
      </c>
    </row>
    <row r="316" spans="3:4" hidden="1" outlineLevel="1">
      <c r="C316" t="s">
        <v>1918</v>
      </c>
      <c r="D316" t="s">
        <v>2115</v>
      </c>
    </row>
    <row r="317" spans="3:4" hidden="1" outlineLevel="1">
      <c r="C317" t="s">
        <v>1919</v>
      </c>
      <c r="D317" t="s">
        <v>719</v>
      </c>
    </row>
    <row r="318" spans="3:4" hidden="1" outlineLevel="1">
      <c r="C318" t="s">
        <v>1920</v>
      </c>
      <c r="D318" t="s">
        <v>2116</v>
      </c>
    </row>
    <row r="319" spans="3:4" hidden="1" outlineLevel="1">
      <c r="C319" t="s">
        <v>1921</v>
      </c>
      <c r="D319" t="s">
        <v>2117</v>
      </c>
    </row>
    <row r="320" spans="3:4" hidden="1" outlineLevel="1">
      <c r="C320" t="s">
        <v>1922</v>
      </c>
      <c r="D320" t="s">
        <v>2118</v>
      </c>
    </row>
    <row r="321" spans="3:4" hidden="1" outlineLevel="1">
      <c r="C321" t="s">
        <v>1923</v>
      </c>
      <c r="D321" t="s">
        <v>2119</v>
      </c>
    </row>
    <row r="322" spans="3:4" hidden="1" outlineLevel="1">
      <c r="C322" t="s">
        <v>1924</v>
      </c>
      <c r="D322" t="s">
        <v>1093</v>
      </c>
    </row>
    <row r="323" spans="3:4" hidden="1" outlineLevel="1">
      <c r="C323" t="s">
        <v>1925</v>
      </c>
      <c r="D323" t="s">
        <v>1092</v>
      </c>
    </row>
    <row r="324" spans="3:4" hidden="1" outlineLevel="1">
      <c r="C324" t="s">
        <v>1926</v>
      </c>
      <c r="D324" t="s">
        <v>1093</v>
      </c>
    </row>
    <row r="325" spans="3:4" hidden="1" outlineLevel="1">
      <c r="C325" t="s">
        <v>1927</v>
      </c>
      <c r="D325" t="s">
        <v>2120</v>
      </c>
    </row>
    <row r="326" spans="3:4" hidden="1" outlineLevel="1">
      <c r="C326" t="s">
        <v>1928</v>
      </c>
      <c r="D326" t="s">
        <v>1095</v>
      </c>
    </row>
    <row r="327" spans="3:4" hidden="1" outlineLevel="1">
      <c r="C327" t="s">
        <v>1929</v>
      </c>
      <c r="D327" t="s">
        <v>1096</v>
      </c>
    </row>
    <row r="328" spans="3:4" hidden="1" outlineLevel="1">
      <c r="C328" t="s">
        <v>1930</v>
      </c>
      <c r="D328" t="s">
        <v>2121</v>
      </c>
    </row>
    <row r="329" spans="3:4" hidden="1" outlineLevel="1">
      <c r="C329" t="s">
        <v>1931</v>
      </c>
      <c r="D329" t="s">
        <v>2122</v>
      </c>
    </row>
    <row r="330" spans="3:4" hidden="1" outlineLevel="1">
      <c r="C330" t="s">
        <v>1932</v>
      </c>
      <c r="D330" t="s">
        <v>2123</v>
      </c>
    </row>
    <row r="331" spans="3:4" hidden="1" outlineLevel="1">
      <c r="C331" t="s">
        <v>1933</v>
      </c>
      <c r="D331" t="s">
        <v>2124</v>
      </c>
    </row>
    <row r="332" spans="3:4" hidden="1" outlineLevel="1">
      <c r="C332" t="s">
        <v>1934</v>
      </c>
      <c r="D332" t="s">
        <v>2125</v>
      </c>
    </row>
    <row r="333" spans="3:4" hidden="1" outlineLevel="1">
      <c r="C333" t="s">
        <v>1935</v>
      </c>
      <c r="D333" t="s">
        <v>604</v>
      </c>
    </row>
    <row r="334" spans="3:4" hidden="1" outlineLevel="1">
      <c r="C334" t="s">
        <v>1936</v>
      </c>
      <c r="D334" t="s">
        <v>2126</v>
      </c>
    </row>
    <row r="335" spans="3:4" hidden="1" outlineLevel="1">
      <c r="C335" t="s">
        <v>1937</v>
      </c>
      <c r="D335" t="s">
        <v>2127</v>
      </c>
    </row>
    <row r="336" spans="3:4" hidden="1" outlineLevel="1">
      <c r="C336" t="s">
        <v>1938</v>
      </c>
      <c r="D336" t="s">
        <v>2128</v>
      </c>
    </row>
    <row r="337" spans="3:4" hidden="1" outlineLevel="1">
      <c r="C337" t="s">
        <v>1939</v>
      </c>
      <c r="D337" t="s">
        <v>2129</v>
      </c>
    </row>
    <row r="338" spans="3:4" hidden="1" outlineLevel="1">
      <c r="C338" t="s">
        <v>1940</v>
      </c>
      <c r="D338" t="s">
        <v>2130</v>
      </c>
    </row>
    <row r="339" spans="3:4" hidden="1" outlineLevel="1">
      <c r="C339" t="s">
        <v>1941</v>
      </c>
      <c r="D339" t="s">
        <v>2131</v>
      </c>
    </row>
    <row r="340" spans="3:4" hidden="1" outlineLevel="1">
      <c r="C340" t="s">
        <v>1942</v>
      </c>
      <c r="D340" t="s">
        <v>2132</v>
      </c>
    </row>
    <row r="341" spans="3:4" hidden="1" outlineLevel="1">
      <c r="C341" t="s">
        <v>1952</v>
      </c>
      <c r="D341" t="s">
        <v>2133</v>
      </c>
    </row>
    <row r="342" spans="3:4" hidden="1" outlineLevel="1">
      <c r="C342" t="s">
        <v>1953</v>
      </c>
      <c r="D342" t="s">
        <v>2134</v>
      </c>
    </row>
    <row r="343" spans="3:4" hidden="1" outlineLevel="1">
      <c r="C343" t="s">
        <v>1954</v>
      </c>
      <c r="D343" t="s">
        <v>2135</v>
      </c>
    </row>
    <row r="344" spans="3:4" hidden="1" outlineLevel="1">
      <c r="C344" t="s">
        <v>1955</v>
      </c>
      <c r="D344" t="s">
        <v>2136</v>
      </c>
    </row>
    <row r="345" spans="3:4" hidden="1" outlineLevel="1">
      <c r="C345" t="s">
        <v>1956</v>
      </c>
      <c r="D345" t="s">
        <v>2137</v>
      </c>
    </row>
    <row r="346" spans="3:4" hidden="1" outlineLevel="1">
      <c r="C346" t="s">
        <v>1957</v>
      </c>
      <c r="D346" t="s">
        <v>2138</v>
      </c>
    </row>
    <row r="347" spans="3:4" hidden="1" outlineLevel="1">
      <c r="C347" t="s">
        <v>1958</v>
      </c>
      <c r="D347" t="s">
        <v>2139</v>
      </c>
    </row>
    <row r="348" spans="3:4" hidden="1" outlineLevel="1">
      <c r="C348" t="s">
        <v>1959</v>
      </c>
      <c r="D348" t="s">
        <v>2140</v>
      </c>
    </row>
    <row r="349" spans="3:4" collapsed="1">
      <c r="C349" t="s">
        <v>523</v>
      </c>
      <c r="D349" t="s">
        <v>602</v>
      </c>
    </row>
    <row r="350" spans="3:4">
      <c r="C350" t="s">
        <v>524</v>
      </c>
      <c r="D350" t="s">
        <v>525</v>
      </c>
    </row>
    <row r="351" spans="3:4">
      <c r="C351" t="s">
        <v>526</v>
      </c>
      <c r="D351" t="s">
        <v>657</v>
      </c>
    </row>
    <row r="352" spans="3:4">
      <c r="C352" t="s">
        <v>923</v>
      </c>
      <c r="D352" t="s">
        <v>530</v>
      </c>
    </row>
    <row r="353" spans="3:101">
      <c r="C353" t="s">
        <v>527</v>
      </c>
      <c r="D353" t="s">
        <v>528</v>
      </c>
    </row>
    <row r="354" spans="3:101">
      <c r="C354" t="s">
        <v>529</v>
      </c>
      <c r="D354" t="s">
        <v>528</v>
      </c>
    </row>
    <row r="355" spans="3:101">
      <c r="C355" t="s">
        <v>596</v>
      </c>
      <c r="D355" t="s">
        <v>537</v>
      </c>
    </row>
    <row r="356" spans="3:101">
      <c r="C356" t="s">
        <v>597</v>
      </c>
      <c r="D356" t="s">
        <v>598</v>
      </c>
    </row>
    <row r="358" spans="3:101">
      <c r="C358" t="s">
        <v>537</v>
      </c>
      <c r="D358" t="s">
        <v>533</v>
      </c>
      <c r="E358" t="s">
        <v>929</v>
      </c>
      <c r="F358" t="s">
        <v>10</v>
      </c>
      <c r="G358" t="s">
        <v>930</v>
      </c>
      <c r="H358" t="s">
        <v>1961</v>
      </c>
      <c r="I358" t="s">
        <v>1055</v>
      </c>
      <c r="J358" t="s">
        <v>1056</v>
      </c>
      <c r="K358" t="s">
        <v>1058</v>
      </c>
      <c r="L358" t="s">
        <v>1057</v>
      </c>
      <c r="M358" t="s">
        <v>1784</v>
      </c>
      <c r="N358" t="s">
        <v>2141</v>
      </c>
      <c r="O358" t="s">
        <v>1951</v>
      </c>
      <c r="P358" t="s">
        <v>2061</v>
      </c>
      <c r="Q358" t="s">
        <v>1947</v>
      </c>
      <c r="R358" t="s">
        <v>293</v>
      </c>
      <c r="S358" t="s">
        <v>1813</v>
      </c>
      <c r="T358" t="s">
        <v>3</v>
      </c>
      <c r="U358" t="s">
        <v>2063</v>
      </c>
      <c r="V358" t="s">
        <v>2062</v>
      </c>
      <c r="W358" t="s">
        <v>1948</v>
      </c>
      <c r="X358" t="s">
        <v>1960</v>
      </c>
      <c r="Y358" t="s">
        <v>1950</v>
      </c>
      <c r="Z358" t="s">
        <v>1949</v>
      </c>
      <c r="AA358" t="s">
        <v>9</v>
      </c>
      <c r="AB358" t="s">
        <v>1964</v>
      </c>
      <c r="AC358" t="s">
        <v>295</v>
      </c>
      <c r="AD358" t="s">
        <v>7</v>
      </c>
      <c r="AE358" t="s">
        <v>8</v>
      </c>
      <c r="AF358" t="s">
        <v>1188</v>
      </c>
      <c r="AG358" t="s">
        <v>1716</v>
      </c>
      <c r="AH358" t="s">
        <v>6</v>
      </c>
      <c r="AI358" t="s">
        <v>296</v>
      </c>
      <c r="AJ358" t="s">
        <v>297</v>
      </c>
      <c r="AK358" t="s">
        <v>366</v>
      </c>
      <c r="AL358" t="s">
        <v>1719</v>
      </c>
      <c r="AM358" t="s">
        <v>846</v>
      </c>
      <c r="AN358" t="s">
        <v>9</v>
      </c>
      <c r="AO358" t="s">
        <v>303</v>
      </c>
      <c r="AP358" t="s">
        <v>304</v>
      </c>
      <c r="AQ358" t="s">
        <v>976</v>
      </c>
      <c r="AR358" t="s">
        <v>370</v>
      </c>
      <c r="AS358" t="s">
        <v>365</v>
      </c>
      <c r="AT358" t="s">
        <v>952</v>
      </c>
      <c r="AU358" t="s">
        <v>1661</v>
      </c>
      <c r="AV358" t="s">
        <v>1760</v>
      </c>
      <c r="AW358" t="s">
        <v>1761</v>
      </c>
      <c r="AX358" t="s">
        <v>1762</v>
      </c>
      <c r="AY358" t="s">
        <v>1763</v>
      </c>
      <c r="AZ358" t="s">
        <v>1764</v>
      </c>
      <c r="BA358" t="s">
        <v>1765</v>
      </c>
      <c r="BB358" t="s">
        <v>1766</v>
      </c>
      <c r="BC358" t="s">
        <v>1767</v>
      </c>
      <c r="BD358" t="s">
        <v>1809</v>
      </c>
      <c r="BE358" t="s">
        <v>1943</v>
      </c>
      <c r="BF358" t="s">
        <v>1037</v>
      </c>
      <c r="BG358" t="s">
        <v>748</v>
      </c>
      <c r="BH358" t="s">
        <v>1039</v>
      </c>
      <c r="BI358" t="s">
        <v>1040</v>
      </c>
      <c r="BJ358" t="s">
        <v>1807</v>
      </c>
      <c r="BK358" t="s">
        <v>1808</v>
      </c>
      <c r="BL358" t="s">
        <v>749</v>
      </c>
      <c r="BM358" t="s">
        <v>1041</v>
      </c>
      <c r="BN358" t="s">
        <v>750</v>
      </c>
      <c r="BO358" t="s">
        <v>1944</v>
      </c>
      <c r="BP358" t="s">
        <v>1043</v>
      </c>
      <c r="BQ358" t="s">
        <v>1042</v>
      </c>
      <c r="BR358" t="s">
        <v>720</v>
      </c>
      <c r="BS358" t="s">
        <v>1044</v>
      </c>
      <c r="BT358" t="s">
        <v>1045</v>
      </c>
      <c r="BU358" t="s">
        <v>752</v>
      </c>
      <c r="BV358" t="s">
        <v>753</v>
      </c>
      <c r="BW358" t="s">
        <v>1098</v>
      </c>
      <c r="BX358" t="s">
        <v>1097</v>
      </c>
      <c r="BY358" t="s">
        <v>1098</v>
      </c>
      <c r="BZ358" t="s">
        <v>1099</v>
      </c>
      <c r="CA358" t="s">
        <v>1100</v>
      </c>
      <c r="CB358" t="s">
        <v>1101</v>
      </c>
      <c r="CC358" t="s">
        <v>942</v>
      </c>
      <c r="CD358" t="s">
        <v>1649</v>
      </c>
      <c r="CE358" t="s">
        <v>1650</v>
      </c>
      <c r="CF358" t="s">
        <v>1651</v>
      </c>
      <c r="CG358" t="s">
        <v>1652</v>
      </c>
      <c r="CH358" t="s">
        <v>59</v>
      </c>
      <c r="CI358" t="s">
        <v>60</v>
      </c>
      <c r="CJ358" t="s">
        <v>61</v>
      </c>
      <c r="CK358" t="s">
        <v>62</v>
      </c>
      <c r="CL358" t="s">
        <v>63</v>
      </c>
      <c r="CM358" t="s">
        <v>871</v>
      </c>
      <c r="CN358" t="s">
        <v>977</v>
      </c>
      <c r="CO358" t="s">
        <v>1786</v>
      </c>
      <c r="CP358" t="s">
        <v>934</v>
      </c>
      <c r="CQ358" t="s">
        <v>2071</v>
      </c>
      <c r="CR358" t="s">
        <v>284</v>
      </c>
      <c r="CS358" t="s">
        <v>283</v>
      </c>
      <c r="CT358" t="s">
        <v>64</v>
      </c>
      <c r="CU358" t="s">
        <v>285</v>
      </c>
      <c r="CV358" t="s">
        <v>362</v>
      </c>
      <c r="CW358" t="s">
        <v>1660</v>
      </c>
    </row>
    <row r="359" spans="3:101">
      <c r="C359" t="s">
        <v>35</v>
      </c>
      <c r="D359" t="s">
        <v>603</v>
      </c>
      <c r="E359">
        <v>113.85905</v>
      </c>
      <c r="F359">
        <v>18.377621999999999</v>
      </c>
      <c r="G359">
        <v>490.07040000000001</v>
      </c>
      <c r="H359">
        <v>7.3437758999999998</v>
      </c>
      <c r="I359">
        <v>4.6646599000000002</v>
      </c>
      <c r="J359">
        <v>8.9743510999999998</v>
      </c>
      <c r="K359">
        <v>12.253833</v>
      </c>
      <c r="L359">
        <v>4.4825818000000002</v>
      </c>
      <c r="M359">
        <v>9.7454263000000001</v>
      </c>
      <c r="N359">
        <v>7.7765722999999998</v>
      </c>
      <c r="O359">
        <v>0.10990161</v>
      </c>
      <c r="P359">
        <v>0.29058321999999998</v>
      </c>
      <c r="Q359">
        <v>4.7234866000000002</v>
      </c>
      <c r="R359">
        <v>4.5945083000000002</v>
      </c>
      <c r="S359">
        <v>5.2771273000000001</v>
      </c>
      <c r="T359">
        <v>4.3627019000000002</v>
      </c>
      <c r="U359">
        <v>1.1761693</v>
      </c>
      <c r="V359">
        <v>1.1017815</v>
      </c>
      <c r="W359">
        <v>0</v>
      </c>
      <c r="X359">
        <v>0.86972704999999995</v>
      </c>
      <c r="Y359">
        <v>0.28995820999999999</v>
      </c>
      <c r="Z359">
        <v>0.62836199000000004</v>
      </c>
      <c r="AA359">
        <v>0.1120796</v>
      </c>
      <c r="AB359">
        <v>2.7697672</v>
      </c>
      <c r="AC359">
        <v>4.6316800000000002</v>
      </c>
      <c r="AD359">
        <v>0</v>
      </c>
      <c r="AE359">
        <v>1.1664991E-2</v>
      </c>
      <c r="AF359">
        <v>1.9830483999999999E-2</v>
      </c>
      <c r="AG359">
        <v>0</v>
      </c>
      <c r="AH359">
        <v>4.0694498000000003E-2</v>
      </c>
      <c r="AI359">
        <v>4.7495755000000001E-2</v>
      </c>
      <c r="AJ359">
        <v>3.5987559000000002E-2</v>
      </c>
      <c r="AK359">
        <v>1.9703741E-2</v>
      </c>
      <c r="AL359">
        <v>1.7875002000000001E-3</v>
      </c>
      <c r="AM359">
        <v>0</v>
      </c>
      <c r="AN359">
        <v>0.1120796</v>
      </c>
      <c r="AO359">
        <v>49.862819999999999</v>
      </c>
      <c r="AP359">
        <v>19.017469999999999</v>
      </c>
      <c r="AQ359">
        <v>419.26762000000002</v>
      </c>
      <c r="AR359">
        <v>2328.4213</v>
      </c>
      <c r="AS359">
        <v>5.3151238000000003</v>
      </c>
      <c r="AT359">
        <v>43.467542000000002</v>
      </c>
      <c r="AU359">
        <v>6.6762002999999996</v>
      </c>
      <c r="AV359">
        <v>1.5789483</v>
      </c>
      <c r="AW359">
        <v>11.952499</v>
      </c>
      <c r="AX359">
        <v>94.411681999999999</v>
      </c>
      <c r="AY359">
        <v>3.9641310000000001</v>
      </c>
      <c r="AZ359">
        <v>2.8153844000000001</v>
      </c>
      <c r="BA359">
        <v>8.9965655000000009</v>
      </c>
      <c r="BB359">
        <v>4.9674886000000003</v>
      </c>
      <c r="BC359">
        <v>2.7906745000000002</v>
      </c>
      <c r="BD359" s="169">
        <v>33.174447999999998</v>
      </c>
      <c r="BE359">
        <v>21.694472999999999</v>
      </c>
      <c r="BF359">
        <v>0.64454557999999995</v>
      </c>
      <c r="BG359">
        <v>5.0917567999999997</v>
      </c>
      <c r="BH359">
        <v>0.54378972000000003</v>
      </c>
      <c r="BI359">
        <v>0.49356214999999998</v>
      </c>
      <c r="BJ359">
        <v>2.2985310000000001</v>
      </c>
      <c r="BK359">
        <v>0.78467224000000002</v>
      </c>
      <c r="BL359">
        <v>20.098161999999999</v>
      </c>
      <c r="BM359">
        <v>0.38354432999999999</v>
      </c>
      <c r="BN359">
        <v>1.2860362999999999</v>
      </c>
      <c r="BO359">
        <v>4.6199390999999999</v>
      </c>
      <c r="BP359">
        <v>2.2385139000000001</v>
      </c>
      <c r="BQ359">
        <v>0.27398787000000002</v>
      </c>
      <c r="BR359">
        <v>0.33616061000000003</v>
      </c>
      <c r="BS359">
        <v>0.13526832999999999</v>
      </c>
      <c r="BT359">
        <v>0.12038635</v>
      </c>
      <c r="BU359">
        <v>3.0833729000000001</v>
      </c>
      <c r="BV359">
        <v>0.23603183999999999</v>
      </c>
      <c r="BW359">
        <v>3.4277994999999999</v>
      </c>
      <c r="BX359">
        <v>6.6899984000000003</v>
      </c>
      <c r="BY359">
        <v>3.4277994999999999</v>
      </c>
      <c r="BZ359">
        <v>11.340457000000001</v>
      </c>
      <c r="CA359">
        <v>8.7725588000000005</v>
      </c>
      <c r="CB359">
        <v>7.9917385999999997</v>
      </c>
      <c r="CC359">
        <v>0.16909608000000001</v>
      </c>
      <c r="CD359">
        <v>65.197160999999994</v>
      </c>
      <c r="CE359">
        <v>19.490292</v>
      </c>
      <c r="CF359">
        <v>21.535692000000001</v>
      </c>
      <c r="CG359">
        <v>13.856147999999999</v>
      </c>
      <c r="CH359">
        <v>2.1268685999999999</v>
      </c>
      <c r="CI359">
        <v>2.1377239000000001</v>
      </c>
      <c r="CJ359">
        <v>3.7050474000000002</v>
      </c>
      <c r="CK359">
        <v>0.11010881</v>
      </c>
      <c r="CL359">
        <v>1.8042921999999999E-3</v>
      </c>
      <c r="CM359">
        <v>3.4204264E-3</v>
      </c>
      <c r="CN359">
        <v>1.7360129E-3</v>
      </c>
      <c r="CO359">
        <v>3.7095795999999999E-3</v>
      </c>
      <c r="CP359">
        <v>4.6502319999999998E-3</v>
      </c>
      <c r="CQ359">
        <v>2.9712593000000001E-3</v>
      </c>
      <c r="CR359">
        <v>2.0044056000000001E-2</v>
      </c>
      <c r="CS359">
        <v>8.4480667999999995E-2</v>
      </c>
      <c r="CT359">
        <v>3.1391339999999999</v>
      </c>
      <c r="CU359">
        <v>0.56634165000000003</v>
      </c>
      <c r="CV359">
        <v>6.0640739000000004</v>
      </c>
      <c r="CW359">
        <v>25.725349999999999</v>
      </c>
    </row>
    <row r="360" spans="3:101">
      <c r="C360" t="s">
        <v>43</v>
      </c>
      <c r="D360" t="s">
        <v>603</v>
      </c>
      <c r="E360">
        <v>97.721928000000005</v>
      </c>
      <c r="F360">
        <v>16.175477999999998</v>
      </c>
      <c r="G360">
        <v>435.02652999999998</v>
      </c>
      <c r="H360">
        <v>5.2897349</v>
      </c>
      <c r="I360">
        <v>1.1589578</v>
      </c>
      <c r="J360">
        <v>6.8215271</v>
      </c>
      <c r="K360">
        <v>5.6090244</v>
      </c>
      <c r="L360">
        <v>3.7399355000000001</v>
      </c>
      <c r="M360">
        <v>5.8424784000000001</v>
      </c>
      <c r="N360">
        <v>3.9129195999999999</v>
      </c>
      <c r="O360">
        <v>9.1047111999999999E-2</v>
      </c>
      <c r="P360">
        <v>0.24769198000000001</v>
      </c>
      <c r="Q360">
        <v>4.6461502000000001</v>
      </c>
      <c r="R360">
        <v>4.5375224999999997</v>
      </c>
      <c r="S360">
        <v>5.1440586000000001</v>
      </c>
      <c r="T360">
        <v>4.3085832999999996</v>
      </c>
      <c r="U360">
        <v>0.76636307999999997</v>
      </c>
      <c r="V360">
        <v>0.71090869000000001</v>
      </c>
      <c r="W360">
        <v>0</v>
      </c>
      <c r="X360">
        <v>0.61248082999999998</v>
      </c>
      <c r="Y360">
        <v>0.18756787999999999</v>
      </c>
      <c r="Z360">
        <v>0.40998232000000001</v>
      </c>
      <c r="AA360">
        <v>3.5931833000000003E-2</v>
      </c>
      <c r="AB360">
        <v>2.6099082999999998</v>
      </c>
      <c r="AC360">
        <v>4.1018938</v>
      </c>
      <c r="AD360">
        <v>0</v>
      </c>
      <c r="AE360">
        <v>1.107258E-2</v>
      </c>
      <c r="AF360">
        <v>1.8823386000000001E-2</v>
      </c>
      <c r="AG360">
        <v>0</v>
      </c>
      <c r="AH360">
        <v>3.5852769E-2</v>
      </c>
      <c r="AI360">
        <v>4.1550892999999998E-2</v>
      </c>
      <c r="AJ360">
        <v>3.1761877000000001E-2</v>
      </c>
      <c r="AK360">
        <v>1.6598925E-2</v>
      </c>
      <c r="AL360">
        <v>1.4755587999999999E-3</v>
      </c>
      <c r="AM360">
        <v>0</v>
      </c>
      <c r="AN360">
        <v>3.5931833000000003E-2</v>
      </c>
      <c r="AO360">
        <v>45.318207999999998</v>
      </c>
      <c r="AP360">
        <v>17.450046</v>
      </c>
      <c r="AQ360">
        <v>383.53622999999999</v>
      </c>
      <c r="AR360">
        <v>840.87599</v>
      </c>
      <c r="AS360">
        <v>3.522535</v>
      </c>
      <c r="AT360">
        <v>27.129769</v>
      </c>
      <c r="AU360">
        <v>4.0285495999999998</v>
      </c>
      <c r="AV360">
        <v>1.4335754999999999</v>
      </c>
      <c r="AW360">
        <v>8.7118461000000007</v>
      </c>
      <c r="AX360">
        <v>56.704479999999997</v>
      </c>
      <c r="AY360">
        <v>3.5125468</v>
      </c>
      <c r="AZ360">
        <v>2.3689713000000001</v>
      </c>
      <c r="BA360">
        <v>6.2056867000000002</v>
      </c>
      <c r="BB360">
        <v>3.0491966000000001</v>
      </c>
      <c r="BC360">
        <v>1.7540374000000001</v>
      </c>
      <c r="BD360" s="169">
        <v>31.542195</v>
      </c>
      <c r="BE360">
        <v>19.301221000000002</v>
      </c>
      <c r="BF360">
        <v>0.59854657</v>
      </c>
      <c r="BG360">
        <v>4.9664631000000004</v>
      </c>
      <c r="BH360">
        <v>0.50181076999999996</v>
      </c>
      <c r="BI360">
        <v>0.45380790999999998</v>
      </c>
      <c r="BJ360">
        <v>1.361378</v>
      </c>
      <c r="BK360">
        <v>0.67398168000000003</v>
      </c>
      <c r="BL360">
        <v>16.871665</v>
      </c>
      <c r="BM360">
        <v>0.35219141999999998</v>
      </c>
      <c r="BN360">
        <v>0.99051182999999998</v>
      </c>
      <c r="BO360">
        <v>4.1133255000000002</v>
      </c>
      <c r="BP360">
        <v>2.0155352999999998</v>
      </c>
      <c r="BQ360">
        <v>0.25660222999999999</v>
      </c>
      <c r="BR360">
        <v>0.28429090000000001</v>
      </c>
      <c r="BS360">
        <v>0.12403272</v>
      </c>
      <c r="BT360">
        <v>0.11066442</v>
      </c>
      <c r="BU360">
        <v>2.6955988</v>
      </c>
      <c r="BV360">
        <v>0.20226327</v>
      </c>
      <c r="BW360">
        <v>3.0750041000000001</v>
      </c>
      <c r="BX360">
        <v>6.1117109999999997</v>
      </c>
      <c r="BY360">
        <v>3.0750041000000001</v>
      </c>
      <c r="BZ360">
        <v>10.183134000000001</v>
      </c>
      <c r="CA360">
        <v>4.9159125000000001</v>
      </c>
      <c r="CB360">
        <v>4.7301494999999996</v>
      </c>
      <c r="CC360">
        <v>0.1083196</v>
      </c>
      <c r="CD360">
        <v>62.234653000000002</v>
      </c>
      <c r="CE360">
        <v>12.498187</v>
      </c>
      <c r="CF360">
        <v>18.720434999999998</v>
      </c>
      <c r="CG360">
        <v>9.1515907999999992</v>
      </c>
      <c r="CH360">
        <v>2.1137815999999998</v>
      </c>
      <c r="CI360">
        <v>2.1112058</v>
      </c>
      <c r="CJ360">
        <v>3.6816556</v>
      </c>
      <c r="CK360">
        <v>9.1915707999999999E-2</v>
      </c>
      <c r="CL360">
        <v>4.8325528E-4</v>
      </c>
      <c r="CM360">
        <v>2.6067187999999999E-3</v>
      </c>
      <c r="CN360">
        <v>1.4511219E-3</v>
      </c>
      <c r="CO360">
        <v>2.2395754999999999E-3</v>
      </c>
      <c r="CP360">
        <v>2.1520302000000002E-3</v>
      </c>
      <c r="CQ360">
        <v>1.515991E-3</v>
      </c>
      <c r="CR360">
        <v>1.7036674000000002E-2</v>
      </c>
      <c r="CS360">
        <v>7.1805305999999999E-2</v>
      </c>
      <c r="CT360">
        <v>2.6681427000000002</v>
      </c>
      <c r="CU360">
        <v>0.53129013999999997</v>
      </c>
      <c r="CV360">
        <v>6.0007845</v>
      </c>
      <c r="CW360">
        <v>10.582625999999999</v>
      </c>
    </row>
    <row r="361" spans="3:101">
      <c r="C361" t="s">
        <v>44</v>
      </c>
      <c r="D361" t="s">
        <v>603</v>
      </c>
      <c r="E361">
        <v>16.108260000000001</v>
      </c>
      <c r="F361">
        <v>2.1971362000000001</v>
      </c>
      <c r="G361">
        <v>55.003857000000004</v>
      </c>
      <c r="H361">
        <v>2.053321</v>
      </c>
      <c r="I361">
        <v>3.5056642999999998</v>
      </c>
      <c r="J361">
        <v>2.1527927</v>
      </c>
      <c r="K361">
        <v>6.6447608999999996</v>
      </c>
      <c r="L361">
        <v>0.74254284999999998</v>
      </c>
      <c r="M361">
        <v>3.9028760999999998</v>
      </c>
      <c r="N361">
        <v>3.8636244999999998</v>
      </c>
      <c r="O361">
        <v>1.8840330999999998E-2</v>
      </c>
      <c r="P361">
        <v>4.2856006000000002E-2</v>
      </c>
      <c r="Q361">
        <v>7.7194325999999994E-2</v>
      </c>
      <c r="R361">
        <v>5.6864689000000003E-2</v>
      </c>
      <c r="S361">
        <v>0.13253147000000001</v>
      </c>
      <c r="T361">
        <v>5.4064002E-2</v>
      </c>
      <c r="U361">
        <v>0.40955732</v>
      </c>
      <c r="V361">
        <v>0.39082274</v>
      </c>
      <c r="W361">
        <v>0</v>
      </c>
      <c r="X361">
        <v>0.25699511000000003</v>
      </c>
      <c r="Y361">
        <v>0.10226853</v>
      </c>
      <c r="Z361">
        <v>0.21810837999999999</v>
      </c>
      <c r="AA361">
        <v>7.6141884000000007E-2</v>
      </c>
      <c r="AB361">
        <v>0.15384812</v>
      </c>
      <c r="AC361">
        <v>0.52930940000000004</v>
      </c>
      <c r="AD361">
        <v>0</v>
      </c>
      <c r="AE361">
        <v>5.8930828000000005E-4</v>
      </c>
      <c r="AF361">
        <v>1.0018239000000001E-3</v>
      </c>
      <c r="AG361">
        <v>0</v>
      </c>
      <c r="AH361">
        <v>4.8171133999999997E-3</v>
      </c>
      <c r="AI361">
        <v>5.9196704999999999E-3</v>
      </c>
      <c r="AJ361">
        <v>4.2013045999999997E-3</v>
      </c>
      <c r="AK361">
        <v>3.1026026000000001E-3</v>
      </c>
      <c r="AL361">
        <v>3.1185263999999999E-4</v>
      </c>
      <c r="AM361">
        <v>0</v>
      </c>
      <c r="AN361">
        <v>7.6141884000000007E-2</v>
      </c>
      <c r="AO361">
        <v>4.5392970999999998</v>
      </c>
      <c r="AP361">
        <v>1.5651136000000001</v>
      </c>
      <c r="AQ361">
        <v>35.625999</v>
      </c>
      <c r="AR361">
        <v>1487.4735000000001</v>
      </c>
      <c r="AS361">
        <v>1.7918524</v>
      </c>
      <c r="AT361">
        <v>16.335754999999999</v>
      </c>
      <c r="AU361">
        <v>2.6468992</v>
      </c>
      <c r="AV361">
        <v>0.14493338</v>
      </c>
      <c r="AW361">
        <v>3.2367395999999999</v>
      </c>
      <c r="AX361">
        <v>35.388133000000003</v>
      </c>
      <c r="AY361">
        <v>0.44710086999999998</v>
      </c>
      <c r="AZ361">
        <v>0.44335366999999998</v>
      </c>
      <c r="BA361">
        <v>2.7899938999999998</v>
      </c>
      <c r="BB361">
        <v>1.7769763999999999</v>
      </c>
      <c r="BC361">
        <v>0.96539392000000002</v>
      </c>
      <c r="BD361" s="169">
        <v>0.49644010999999999</v>
      </c>
      <c r="BE361">
        <v>2.3870501000000002</v>
      </c>
      <c r="BF361">
        <v>4.5907789999999997E-2</v>
      </c>
      <c r="BG361">
        <v>0.12521937999999999</v>
      </c>
      <c r="BH361">
        <v>4.1934059000000003E-2</v>
      </c>
      <c r="BI361">
        <v>3.9717016000000001E-2</v>
      </c>
      <c r="BJ361">
        <v>0.93696670000000004</v>
      </c>
      <c r="BK361">
        <v>0.11052494</v>
      </c>
      <c r="BL361">
        <v>3.2213045999999999</v>
      </c>
      <c r="BM361">
        <v>3.1279410000000001E-2</v>
      </c>
      <c r="BN361">
        <v>0.29544516999999998</v>
      </c>
      <c r="BO361">
        <v>0.50528963999999998</v>
      </c>
      <c r="BP361">
        <v>0.22256069000000001</v>
      </c>
      <c r="BQ361">
        <v>1.7352583000000001E-2</v>
      </c>
      <c r="BR361">
        <v>5.1838769E-2</v>
      </c>
      <c r="BS361">
        <v>1.122043E-2</v>
      </c>
      <c r="BT361">
        <v>9.7086333999999996E-3</v>
      </c>
      <c r="BU361">
        <v>0.38687722000000002</v>
      </c>
      <c r="BV361">
        <v>3.3727177999999997E-2</v>
      </c>
      <c r="BW361">
        <v>0.35232909000000001</v>
      </c>
      <c r="BX361">
        <v>0.57777535999999996</v>
      </c>
      <c r="BY361">
        <v>0.35232909000000001</v>
      </c>
      <c r="BZ361">
        <v>1.1546647000000001</v>
      </c>
      <c r="CA361">
        <v>0.44937536</v>
      </c>
      <c r="CB361">
        <v>0.90859869000000004</v>
      </c>
      <c r="CC361">
        <v>6.0767359999999999E-2</v>
      </c>
      <c r="CD361">
        <v>2.9600806999999998</v>
      </c>
      <c r="CE361">
        <v>6.9914301999999999</v>
      </c>
      <c r="CF361">
        <v>2.8148784</v>
      </c>
      <c r="CG361">
        <v>4.7036407000000002</v>
      </c>
      <c r="CH361">
        <v>1.3060586000000001E-2</v>
      </c>
      <c r="CI361">
        <v>2.6491361000000001E-2</v>
      </c>
      <c r="CJ361">
        <v>2.3345464E-2</v>
      </c>
      <c r="CK361">
        <v>1.8178149000000001E-2</v>
      </c>
      <c r="CL361">
        <v>1.3210019999999999E-3</v>
      </c>
      <c r="CM361">
        <v>8.1367517999999996E-4</v>
      </c>
      <c r="CN361">
        <v>2.8483148999999998E-4</v>
      </c>
      <c r="CO361">
        <v>1.4699564E-3</v>
      </c>
      <c r="CP361">
        <v>2.4981631999999999E-3</v>
      </c>
      <c r="CQ361">
        <v>1.4552371000000001E-3</v>
      </c>
      <c r="CR361">
        <v>3.0034435999999999E-3</v>
      </c>
      <c r="CS361">
        <v>1.2658760999999999E-2</v>
      </c>
      <c r="CT361">
        <v>0.47037445</v>
      </c>
      <c r="CU361">
        <v>3.4967509000000001E-2</v>
      </c>
      <c r="CV361">
        <v>6.3212002000000003E-2</v>
      </c>
      <c r="CW361">
        <v>15.141076999999999</v>
      </c>
    </row>
    <row r="362" spans="3:101">
      <c r="C362" t="s">
        <v>740</v>
      </c>
      <c r="D362" t="s">
        <v>603</v>
      </c>
      <c r="E362">
        <v>0</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s="4">
        <v>0</v>
      </c>
      <c r="AM362">
        <v>0</v>
      </c>
      <c r="AN362">
        <v>0</v>
      </c>
      <c r="AO362">
        <v>0</v>
      </c>
      <c r="AP362">
        <v>0</v>
      </c>
      <c r="AQ362">
        <v>0</v>
      </c>
      <c r="AR362">
        <v>0</v>
      </c>
      <c r="AS362">
        <v>0</v>
      </c>
      <c r="AT362">
        <v>0</v>
      </c>
      <c r="AU362">
        <v>0</v>
      </c>
      <c r="AV362">
        <v>0</v>
      </c>
      <c r="AW362">
        <v>0</v>
      </c>
      <c r="AX362">
        <v>0</v>
      </c>
      <c r="AY362">
        <v>0</v>
      </c>
      <c r="AZ362">
        <v>0</v>
      </c>
      <c r="BA362">
        <v>0</v>
      </c>
      <c r="BB362">
        <v>0</v>
      </c>
      <c r="BC362">
        <v>0</v>
      </c>
      <c r="BD362" s="169">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c r="CH362">
        <v>0</v>
      </c>
      <c r="CI362">
        <v>0</v>
      </c>
      <c r="CJ362">
        <v>0</v>
      </c>
      <c r="CK362">
        <v>0</v>
      </c>
      <c r="CL362">
        <v>0</v>
      </c>
      <c r="CM362" s="4">
        <v>0</v>
      </c>
      <c r="CN362">
        <v>0</v>
      </c>
      <c r="CO362">
        <v>0</v>
      </c>
      <c r="CP362">
        <v>0</v>
      </c>
      <c r="CQ362" s="4">
        <v>0</v>
      </c>
      <c r="CR362">
        <v>0</v>
      </c>
      <c r="CS362">
        <v>0</v>
      </c>
      <c r="CT362">
        <v>0</v>
      </c>
      <c r="CU362">
        <v>0</v>
      </c>
      <c r="CV362">
        <v>0</v>
      </c>
      <c r="CW362">
        <v>0</v>
      </c>
    </row>
    <row r="363" spans="3:101">
      <c r="C363" t="s">
        <v>741</v>
      </c>
      <c r="D363" t="s">
        <v>603</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s="4">
        <v>0</v>
      </c>
      <c r="AF363" s="4">
        <v>0</v>
      </c>
      <c r="AG363">
        <v>0</v>
      </c>
      <c r="AH363">
        <v>0</v>
      </c>
      <c r="AI363">
        <v>0</v>
      </c>
      <c r="AJ363">
        <v>0</v>
      </c>
      <c r="AK363">
        <v>0</v>
      </c>
      <c r="AL363" s="4">
        <v>0</v>
      </c>
      <c r="AM363">
        <v>0</v>
      </c>
      <c r="AN363">
        <v>0</v>
      </c>
      <c r="AO363">
        <v>0</v>
      </c>
      <c r="AP363">
        <v>0</v>
      </c>
      <c r="AQ363">
        <v>0</v>
      </c>
      <c r="AR363">
        <v>0</v>
      </c>
      <c r="AS363">
        <v>0</v>
      </c>
      <c r="AT363">
        <v>0</v>
      </c>
      <c r="AU363">
        <v>0</v>
      </c>
      <c r="AV363">
        <v>0</v>
      </c>
      <c r="AW363">
        <v>0</v>
      </c>
      <c r="AX363">
        <v>0</v>
      </c>
      <c r="AY363">
        <v>0</v>
      </c>
      <c r="AZ363">
        <v>0</v>
      </c>
      <c r="BA363">
        <v>0</v>
      </c>
      <c r="BB363">
        <v>0</v>
      </c>
      <c r="BC363">
        <v>0</v>
      </c>
      <c r="BD363" s="169">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0</v>
      </c>
      <c r="CF363">
        <v>0</v>
      </c>
      <c r="CG363">
        <v>0</v>
      </c>
      <c r="CH363">
        <v>0</v>
      </c>
      <c r="CI363">
        <v>0</v>
      </c>
      <c r="CJ363">
        <v>0</v>
      </c>
      <c r="CK363">
        <v>0</v>
      </c>
      <c r="CL363" s="4">
        <v>0</v>
      </c>
      <c r="CM363">
        <v>0</v>
      </c>
      <c r="CN363">
        <v>0</v>
      </c>
      <c r="CO363">
        <v>0</v>
      </c>
      <c r="CP363" s="4">
        <v>0</v>
      </c>
      <c r="CQ363">
        <v>0</v>
      </c>
      <c r="CR363" s="4">
        <v>0</v>
      </c>
      <c r="CS363">
        <v>0</v>
      </c>
      <c r="CT363">
        <v>0</v>
      </c>
      <c r="CU363">
        <v>0</v>
      </c>
      <c r="CV363">
        <v>0</v>
      </c>
      <c r="CW363">
        <v>0</v>
      </c>
    </row>
    <row r="364" spans="3:101">
      <c r="C364" t="s">
        <v>742</v>
      </c>
      <c r="D364" t="s">
        <v>603</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s="169">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c r="CH364">
        <v>0</v>
      </c>
      <c r="CI364">
        <v>0</v>
      </c>
      <c r="CJ364">
        <v>0</v>
      </c>
      <c r="CK364">
        <v>0</v>
      </c>
      <c r="CL364">
        <v>0</v>
      </c>
      <c r="CM364" s="4">
        <v>0</v>
      </c>
      <c r="CN364">
        <v>0</v>
      </c>
      <c r="CO364" s="4">
        <v>0</v>
      </c>
      <c r="CP364">
        <v>0</v>
      </c>
      <c r="CQ364">
        <v>0</v>
      </c>
      <c r="CR364">
        <v>0</v>
      </c>
      <c r="CS364">
        <v>0</v>
      </c>
      <c r="CT364">
        <v>0</v>
      </c>
      <c r="CU364">
        <v>0</v>
      </c>
      <c r="CV364">
        <v>0</v>
      </c>
      <c r="CW364">
        <v>0</v>
      </c>
    </row>
    <row r="365" spans="3:101">
      <c r="C365" t="s">
        <v>743</v>
      </c>
      <c r="D365" t="s">
        <v>603</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s="169">
        <v>0</v>
      </c>
      <c r="BE365">
        <v>0</v>
      </c>
      <c r="BF365">
        <v>0</v>
      </c>
      <c r="BG365">
        <v>0</v>
      </c>
      <c r="BH365">
        <v>0</v>
      </c>
      <c r="BI365">
        <v>0</v>
      </c>
      <c r="BJ365">
        <v>0</v>
      </c>
      <c r="BK365">
        <v>0</v>
      </c>
      <c r="BL365">
        <v>0</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0</v>
      </c>
      <c r="CT365">
        <v>0</v>
      </c>
      <c r="CU365">
        <v>0</v>
      </c>
      <c r="CV365">
        <v>0</v>
      </c>
      <c r="CW365">
        <v>0</v>
      </c>
    </row>
    <row r="366" spans="3:101">
      <c r="C366" t="s">
        <v>45</v>
      </c>
      <c r="D366" t="s">
        <v>603</v>
      </c>
      <c r="E366">
        <v>2.8861865E-2</v>
      </c>
      <c r="F366">
        <v>5.0077402999999998E-3</v>
      </c>
      <c r="G366">
        <v>4.0011538999999999E-2</v>
      </c>
      <c r="H366">
        <v>7.2008708999999997E-4</v>
      </c>
      <c r="I366" s="4">
        <v>3.7840662000000001E-5</v>
      </c>
      <c r="J366" s="4">
        <v>3.1254941999999999E-5</v>
      </c>
      <c r="K366" s="4">
        <v>4.7382105999999998E-5</v>
      </c>
      <c r="L366">
        <v>1.0347642E-4</v>
      </c>
      <c r="M366" s="4">
        <v>7.1852272E-5</v>
      </c>
      <c r="N366" s="4">
        <v>2.8092018000000001E-5</v>
      </c>
      <c r="O366" s="4">
        <v>1.4167526000000001E-5</v>
      </c>
      <c r="P366" s="4">
        <v>3.5232096E-5</v>
      </c>
      <c r="Q366">
        <v>1.420131E-4</v>
      </c>
      <c r="R366">
        <v>1.2108607E-4</v>
      </c>
      <c r="S366">
        <v>5.3728656999999999E-4</v>
      </c>
      <c r="T366" s="4">
        <v>5.4633753999999999E-5</v>
      </c>
      <c r="U366">
        <v>2.4886285E-4</v>
      </c>
      <c r="V366" s="4">
        <v>5.0086281000000003E-5</v>
      </c>
      <c r="W366">
        <v>0</v>
      </c>
      <c r="X366">
        <v>2.5110855999999998E-4</v>
      </c>
      <c r="Y366">
        <v>1.217972E-4</v>
      </c>
      <c r="Z366">
        <v>2.7129267E-4</v>
      </c>
      <c r="AA366" s="4">
        <v>5.8823421000000002E-6</v>
      </c>
      <c r="AB366">
        <v>6.0108167000000002E-3</v>
      </c>
      <c r="AC366">
        <v>4.7683072000000002E-4</v>
      </c>
      <c r="AD366">
        <v>0</v>
      </c>
      <c r="AE366" s="4">
        <v>3.1027196999999998E-6</v>
      </c>
      <c r="AF366" s="4">
        <v>5.2746236000000003E-6</v>
      </c>
      <c r="AG366">
        <v>0</v>
      </c>
      <c r="AH366" s="4">
        <v>2.4615543999999999E-5</v>
      </c>
      <c r="AI366" s="4">
        <v>2.5191612000000001E-5</v>
      </c>
      <c r="AJ366" s="4">
        <v>2.4378289999999999E-5</v>
      </c>
      <c r="AK366" s="4">
        <v>2.2141319000000002E-6</v>
      </c>
      <c r="AL366" s="4">
        <v>8.8685570999999996E-8</v>
      </c>
      <c r="AM366">
        <v>0</v>
      </c>
      <c r="AN366" s="4">
        <v>5.8823421000000002E-6</v>
      </c>
      <c r="AO366">
        <v>5.3145568999999997E-3</v>
      </c>
      <c r="AP366">
        <v>2.3102546000000001E-3</v>
      </c>
      <c r="AQ366">
        <v>0.10539817</v>
      </c>
      <c r="AR366">
        <v>7.1842580000000003E-2</v>
      </c>
      <c r="AS366">
        <v>7.3641318000000004E-4</v>
      </c>
      <c r="AT366">
        <v>2.0175848000000001E-3</v>
      </c>
      <c r="AU366">
        <v>7.5153668999999998E-4</v>
      </c>
      <c r="AV366">
        <v>4.3942896000000002E-4</v>
      </c>
      <c r="AW366">
        <v>3.9137974000000002E-3</v>
      </c>
      <c r="AX366">
        <v>2.3190689</v>
      </c>
      <c r="AY366">
        <v>4.4833388999999998E-3</v>
      </c>
      <c r="AZ366">
        <v>3.0594327999999998E-3</v>
      </c>
      <c r="BA366">
        <v>8.8493152999999998E-4</v>
      </c>
      <c r="BB366">
        <v>0.14131564999999999</v>
      </c>
      <c r="BC366">
        <v>7.1243174000000006E-2</v>
      </c>
      <c r="BD366" s="169">
        <v>1.1358132000000001</v>
      </c>
      <c r="BE366">
        <v>6.2022181999999999E-3</v>
      </c>
      <c r="BF366" s="4">
        <v>9.1215250000000004E-5</v>
      </c>
      <c r="BG366" s="4">
        <v>7.4380723999999996E-5</v>
      </c>
      <c r="BH366" s="4">
        <v>4.4896226999999999E-5</v>
      </c>
      <c r="BI366" s="4">
        <v>3.7219167999999997E-5</v>
      </c>
      <c r="BJ366">
        <v>1.8627349E-4</v>
      </c>
      <c r="BK366">
        <v>1.6562544999999999E-4</v>
      </c>
      <c r="BL366">
        <v>5.1922766000000002E-3</v>
      </c>
      <c r="BM366" s="4">
        <v>7.3505165999999996E-5</v>
      </c>
      <c r="BN366" s="4">
        <v>7.9267820999999998E-5</v>
      </c>
      <c r="BO366">
        <v>1.3239598E-3</v>
      </c>
      <c r="BP366">
        <v>4.1787441999999999E-4</v>
      </c>
      <c r="BQ366" s="4">
        <v>3.3060727999999997E-5</v>
      </c>
      <c r="BR366" s="4">
        <v>3.0938695999999998E-5</v>
      </c>
      <c r="BS366" s="4">
        <v>1.5181187000000001E-5</v>
      </c>
      <c r="BT366" s="4">
        <v>1.3296104000000001E-5</v>
      </c>
      <c r="BU366">
        <v>8.9691789000000003E-4</v>
      </c>
      <c r="BV366" s="4">
        <v>4.1397842E-5</v>
      </c>
      <c r="BW366">
        <v>4.6631698999999999E-4</v>
      </c>
      <c r="BX366">
        <v>5.1205149000000001E-4</v>
      </c>
      <c r="BY366">
        <v>4.6631698999999999E-4</v>
      </c>
      <c r="BZ366">
        <v>2.6582432999999999E-3</v>
      </c>
      <c r="CA366">
        <v>3.4072710000000002</v>
      </c>
      <c r="CB366">
        <v>2.3529903999999999</v>
      </c>
      <c r="CC366" s="4">
        <v>9.1245280000000004E-6</v>
      </c>
      <c r="CD366">
        <v>2.4278527000000001E-3</v>
      </c>
      <c r="CE366">
        <v>6.7523194000000003E-4</v>
      </c>
      <c r="CF366">
        <v>3.7810923000000001E-4</v>
      </c>
      <c r="CG366">
        <v>9.1633199999999995E-4</v>
      </c>
      <c r="CH366" s="4">
        <v>2.6412445000000001E-5</v>
      </c>
      <c r="CI366" s="4">
        <v>2.6770539000000001E-5</v>
      </c>
      <c r="CJ366" s="4">
        <v>4.6335997000000003E-5</v>
      </c>
      <c r="CK366" s="4">
        <v>1.4950684E-5</v>
      </c>
      <c r="CL366" s="4">
        <v>3.4886141000000001E-8</v>
      </c>
      <c r="CM366" s="4">
        <v>3.2416496000000003E-8</v>
      </c>
      <c r="CN366" s="4">
        <v>5.9499549999999999E-8</v>
      </c>
      <c r="CO366" s="4">
        <v>4.7640494E-8</v>
      </c>
      <c r="CP366" s="4">
        <v>3.8464181999999998E-8</v>
      </c>
      <c r="CQ366" s="4">
        <v>3.1230399000000001E-8</v>
      </c>
      <c r="CR366" s="4">
        <v>3.9386458E-6</v>
      </c>
      <c r="CS366" s="4">
        <v>1.6600403999999999E-5</v>
      </c>
      <c r="CT366">
        <v>6.1683807999999998E-4</v>
      </c>
      <c r="CU366" s="4">
        <v>8.3991984000000001E-5</v>
      </c>
      <c r="CV366" s="4">
        <v>7.7452638999999998E-5</v>
      </c>
      <c r="CW366">
        <v>1.6476691999999999E-3</v>
      </c>
    </row>
    <row r="367" spans="3:101">
      <c r="C367" t="s">
        <v>744</v>
      </c>
      <c r="D367" t="s">
        <v>603</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s="169">
        <v>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0</v>
      </c>
      <c r="CT367">
        <v>0</v>
      </c>
      <c r="CU367">
        <v>0</v>
      </c>
      <c r="CV367">
        <v>0</v>
      </c>
      <c r="CW367">
        <v>0</v>
      </c>
    </row>
    <row r="372" spans="2:4">
      <c r="B372" s="351">
        <v>44238</v>
      </c>
      <c r="C372" s="169"/>
    </row>
    <row r="373" spans="2:4">
      <c r="C373" t="s">
        <v>570</v>
      </c>
      <c r="D373" t="s">
        <v>571</v>
      </c>
    </row>
    <row r="374" spans="2:4">
      <c r="C374" t="s">
        <v>572</v>
      </c>
      <c r="D374" t="s">
        <v>573</v>
      </c>
    </row>
    <row r="375" spans="2:4" hidden="1" outlineLevel="1">
      <c r="C375" t="s">
        <v>574</v>
      </c>
      <c r="D375" t="s">
        <v>2074</v>
      </c>
    </row>
    <row r="376" spans="2:4" hidden="1" outlineLevel="1">
      <c r="C376" t="s">
        <v>575</v>
      </c>
      <c r="D376" t="s">
        <v>2075</v>
      </c>
    </row>
    <row r="377" spans="2:4" hidden="1" outlineLevel="1">
      <c r="C377" t="s">
        <v>576</v>
      </c>
      <c r="D377" t="s">
        <v>2076</v>
      </c>
    </row>
    <row r="378" spans="2:4" hidden="1" outlineLevel="1">
      <c r="C378" t="s">
        <v>577</v>
      </c>
      <c r="D378" t="s">
        <v>2077</v>
      </c>
    </row>
    <row r="379" spans="2:4" hidden="1" outlineLevel="1">
      <c r="C379" t="s">
        <v>578</v>
      </c>
      <c r="D379" t="s">
        <v>1051</v>
      </c>
    </row>
    <row r="380" spans="2:4" hidden="1" outlineLevel="1">
      <c r="C380" t="s">
        <v>579</v>
      </c>
      <c r="D380" t="s">
        <v>1052</v>
      </c>
    </row>
    <row r="381" spans="2:4" hidden="1" outlineLevel="1">
      <c r="C381" t="s">
        <v>580</v>
      </c>
      <c r="D381" t="s">
        <v>1054</v>
      </c>
    </row>
    <row r="382" spans="2:4" hidden="1" outlineLevel="1">
      <c r="C382" t="s">
        <v>581</v>
      </c>
      <c r="D382" t="s">
        <v>1053</v>
      </c>
    </row>
    <row r="383" spans="2:4" hidden="1" outlineLevel="1">
      <c r="C383" t="s">
        <v>582</v>
      </c>
      <c r="D383" t="s">
        <v>1798</v>
      </c>
    </row>
    <row r="384" spans="2:4" hidden="1" outlineLevel="1">
      <c r="C384" t="s">
        <v>583</v>
      </c>
      <c r="D384" t="s">
        <v>2078</v>
      </c>
    </row>
    <row r="385" spans="3:4" hidden="1" outlineLevel="1">
      <c r="C385" t="s">
        <v>584</v>
      </c>
      <c r="D385" t="s">
        <v>2079</v>
      </c>
    </row>
    <row r="386" spans="3:4" hidden="1" outlineLevel="1">
      <c r="C386" t="s">
        <v>585</v>
      </c>
      <c r="D386" t="s">
        <v>2080</v>
      </c>
    </row>
    <row r="387" spans="3:4" hidden="1" outlineLevel="1">
      <c r="C387" t="s">
        <v>586</v>
      </c>
      <c r="D387" t="s">
        <v>2081</v>
      </c>
    </row>
    <row r="388" spans="3:4" hidden="1" outlineLevel="1">
      <c r="C388" t="s">
        <v>587</v>
      </c>
      <c r="D388" t="s">
        <v>608</v>
      </c>
    </row>
    <row r="389" spans="3:4" hidden="1" outlineLevel="1">
      <c r="C389" t="s">
        <v>588</v>
      </c>
      <c r="D389" t="s">
        <v>2082</v>
      </c>
    </row>
    <row r="390" spans="3:4" hidden="1" outlineLevel="1">
      <c r="C390" t="s">
        <v>589</v>
      </c>
      <c r="D390" t="s">
        <v>2083</v>
      </c>
    </row>
    <row r="391" spans="3:4" hidden="1" outlineLevel="1">
      <c r="C391" t="s">
        <v>590</v>
      </c>
      <c r="D391" t="s">
        <v>2084</v>
      </c>
    </row>
    <row r="392" spans="3:4" hidden="1" outlineLevel="1">
      <c r="C392" t="s">
        <v>591</v>
      </c>
      <c r="D392" t="s">
        <v>2085</v>
      </c>
    </row>
    <row r="393" spans="3:4" hidden="1" outlineLevel="1">
      <c r="C393" t="s">
        <v>592</v>
      </c>
      <c r="D393" t="s">
        <v>2086</v>
      </c>
    </row>
    <row r="394" spans="3:4" hidden="1" outlineLevel="1">
      <c r="C394" t="s">
        <v>593</v>
      </c>
      <c r="D394" t="s">
        <v>2087</v>
      </c>
    </row>
    <row r="395" spans="3:4" hidden="1" outlineLevel="1">
      <c r="C395" t="s">
        <v>620</v>
      </c>
      <c r="D395" t="s">
        <v>2088</v>
      </c>
    </row>
    <row r="396" spans="3:4" hidden="1" outlineLevel="1">
      <c r="C396" t="s">
        <v>622</v>
      </c>
      <c r="D396" t="s">
        <v>2089</v>
      </c>
    </row>
    <row r="397" spans="3:4" hidden="1" outlineLevel="1">
      <c r="C397" t="s">
        <v>623</v>
      </c>
      <c r="D397" t="s">
        <v>618</v>
      </c>
    </row>
    <row r="398" spans="3:4" hidden="1" outlineLevel="1">
      <c r="C398" t="s">
        <v>625</v>
      </c>
      <c r="D398" t="s">
        <v>2090</v>
      </c>
    </row>
    <row r="399" spans="3:4" hidden="1" outlineLevel="1">
      <c r="C399" t="s">
        <v>917</v>
      </c>
      <c r="D399" t="s">
        <v>2091</v>
      </c>
    </row>
    <row r="400" spans="3:4" hidden="1" outlineLevel="1">
      <c r="C400" t="s">
        <v>950</v>
      </c>
      <c r="D400" t="s">
        <v>611</v>
      </c>
    </row>
    <row r="401" spans="3:4" hidden="1" outlineLevel="1">
      <c r="C401" t="s">
        <v>972</v>
      </c>
      <c r="D401" t="s">
        <v>612</v>
      </c>
    </row>
    <row r="402" spans="3:4" hidden="1" outlineLevel="1">
      <c r="C402" t="s">
        <v>1129</v>
      </c>
      <c r="D402" t="s">
        <v>1187</v>
      </c>
    </row>
    <row r="403" spans="3:4" hidden="1" outlineLevel="1">
      <c r="C403" t="s">
        <v>1647</v>
      </c>
      <c r="D403" t="s">
        <v>1715</v>
      </c>
    </row>
    <row r="404" spans="3:4" hidden="1" outlineLevel="1">
      <c r="C404" t="s">
        <v>1648</v>
      </c>
      <c r="D404" t="s">
        <v>613</v>
      </c>
    </row>
    <row r="405" spans="3:4" hidden="1" outlineLevel="1">
      <c r="C405" t="s">
        <v>1718</v>
      </c>
      <c r="D405" t="s">
        <v>614</v>
      </c>
    </row>
    <row r="406" spans="3:4" hidden="1" outlineLevel="1">
      <c r="C406" t="s">
        <v>1753</v>
      </c>
      <c r="D406" t="s">
        <v>615</v>
      </c>
    </row>
    <row r="407" spans="3:4" hidden="1" outlineLevel="1">
      <c r="C407" t="s">
        <v>1754</v>
      </c>
      <c r="D407" t="s">
        <v>616</v>
      </c>
    </row>
    <row r="408" spans="3:4" hidden="1" outlineLevel="1">
      <c r="C408" t="s">
        <v>1755</v>
      </c>
      <c r="D408" t="s">
        <v>1717</v>
      </c>
    </row>
    <row r="409" spans="3:4" hidden="1" outlineLevel="1">
      <c r="C409" t="s">
        <v>1756</v>
      </c>
      <c r="D409" t="s">
        <v>835</v>
      </c>
    </row>
    <row r="410" spans="3:4" hidden="1" outlineLevel="1">
      <c r="C410" t="s">
        <v>1757</v>
      </c>
      <c r="D410" t="s">
        <v>618</v>
      </c>
    </row>
    <row r="411" spans="3:4" hidden="1" outlineLevel="1">
      <c r="C411" t="s">
        <v>1758</v>
      </c>
      <c r="D411" t="s">
        <v>619</v>
      </c>
    </row>
    <row r="412" spans="3:4" hidden="1" outlineLevel="1">
      <c r="C412" t="s">
        <v>1759</v>
      </c>
      <c r="D412" t="s">
        <v>621</v>
      </c>
    </row>
    <row r="413" spans="3:4" hidden="1" outlineLevel="1">
      <c r="C413" t="s">
        <v>1806</v>
      </c>
      <c r="D413" t="s">
        <v>2092</v>
      </c>
    </row>
    <row r="414" spans="3:4" hidden="1" outlineLevel="1">
      <c r="C414" t="s">
        <v>1893</v>
      </c>
      <c r="D414" t="s">
        <v>624</v>
      </c>
    </row>
    <row r="415" spans="3:4" hidden="1" outlineLevel="1">
      <c r="C415" t="s">
        <v>1894</v>
      </c>
      <c r="D415" t="s">
        <v>2093</v>
      </c>
    </row>
    <row r="416" spans="3:4" hidden="1" outlineLevel="1">
      <c r="C416" t="s">
        <v>1895</v>
      </c>
      <c r="D416" t="s">
        <v>951</v>
      </c>
    </row>
    <row r="417" spans="3:4" hidden="1" outlineLevel="1">
      <c r="C417" t="s">
        <v>1896</v>
      </c>
      <c r="D417" t="s">
        <v>1681</v>
      </c>
    </row>
    <row r="418" spans="3:4" hidden="1" outlineLevel="1">
      <c r="C418" t="s">
        <v>1897</v>
      </c>
      <c r="D418" t="s">
        <v>2094</v>
      </c>
    </row>
    <row r="419" spans="3:4" hidden="1" outlineLevel="1">
      <c r="C419" t="s">
        <v>1898</v>
      </c>
      <c r="D419" t="s">
        <v>2095</v>
      </c>
    </row>
    <row r="420" spans="3:4" hidden="1" outlineLevel="1">
      <c r="C420" t="s">
        <v>1899</v>
      </c>
      <c r="D420" t="s">
        <v>2096</v>
      </c>
    </row>
    <row r="421" spans="3:4" hidden="1" outlineLevel="1">
      <c r="C421" t="s">
        <v>1900</v>
      </c>
      <c r="D421" t="s">
        <v>2097</v>
      </c>
    </row>
    <row r="422" spans="3:4" hidden="1" outlineLevel="1">
      <c r="C422" t="s">
        <v>1901</v>
      </c>
      <c r="D422" t="s">
        <v>2098</v>
      </c>
    </row>
    <row r="423" spans="3:4" hidden="1" outlineLevel="1">
      <c r="C423" t="s">
        <v>1902</v>
      </c>
      <c r="D423" t="s">
        <v>2099</v>
      </c>
    </row>
    <row r="424" spans="3:4" hidden="1" outlineLevel="1">
      <c r="C424" t="s">
        <v>1903</v>
      </c>
      <c r="D424" t="s">
        <v>2100</v>
      </c>
    </row>
    <row r="425" spans="3:4" hidden="1" outlineLevel="1">
      <c r="C425" t="s">
        <v>1904</v>
      </c>
      <c r="D425" t="s">
        <v>2101</v>
      </c>
    </row>
    <row r="426" spans="3:4" hidden="1" outlineLevel="1">
      <c r="C426" t="s">
        <v>1905</v>
      </c>
      <c r="D426" t="s">
        <v>2102</v>
      </c>
    </row>
    <row r="427" spans="3:4" hidden="1" outlineLevel="1">
      <c r="C427" t="s">
        <v>1906</v>
      </c>
      <c r="D427" t="s">
        <v>2103</v>
      </c>
    </row>
    <row r="428" spans="3:4" hidden="1" outlineLevel="1">
      <c r="C428" t="s">
        <v>1907</v>
      </c>
      <c r="D428" t="s">
        <v>2104</v>
      </c>
    </row>
    <row r="429" spans="3:4" hidden="1" outlineLevel="1">
      <c r="C429" t="s">
        <v>1908</v>
      </c>
      <c r="D429" t="s">
        <v>2105</v>
      </c>
    </row>
    <row r="430" spans="3:4" hidden="1" outlineLevel="1">
      <c r="C430" t="s">
        <v>1909</v>
      </c>
      <c r="D430" t="s">
        <v>2106</v>
      </c>
    </row>
    <row r="431" spans="3:4" hidden="1" outlineLevel="1">
      <c r="C431" t="s">
        <v>1910</v>
      </c>
      <c r="D431" t="s">
        <v>2107</v>
      </c>
    </row>
    <row r="432" spans="3:4" hidden="1" outlineLevel="1">
      <c r="C432" t="s">
        <v>1911</v>
      </c>
      <c r="D432" t="s">
        <v>2108</v>
      </c>
    </row>
    <row r="433" spans="3:4" hidden="1" outlineLevel="1">
      <c r="C433" t="s">
        <v>1912</v>
      </c>
      <c r="D433" t="s">
        <v>2109</v>
      </c>
    </row>
    <row r="434" spans="3:4" hidden="1" outlineLevel="1">
      <c r="C434" t="s">
        <v>1913</v>
      </c>
      <c r="D434" t="s">
        <v>2110</v>
      </c>
    </row>
    <row r="435" spans="3:4" hidden="1" outlineLevel="1">
      <c r="C435" t="s">
        <v>1914</v>
      </c>
      <c r="D435" t="s">
        <v>2111</v>
      </c>
    </row>
    <row r="436" spans="3:4" hidden="1" outlineLevel="1">
      <c r="C436" t="s">
        <v>1915</v>
      </c>
      <c r="D436" t="s">
        <v>2112</v>
      </c>
    </row>
    <row r="437" spans="3:4" hidden="1" outlineLevel="1">
      <c r="C437" t="s">
        <v>1916</v>
      </c>
      <c r="D437" t="s">
        <v>2113</v>
      </c>
    </row>
    <row r="438" spans="3:4" hidden="1" outlineLevel="1">
      <c r="C438" t="s">
        <v>1917</v>
      </c>
      <c r="D438" t="s">
        <v>2114</v>
      </c>
    </row>
    <row r="439" spans="3:4" hidden="1" outlineLevel="1">
      <c r="C439" t="s">
        <v>1918</v>
      </c>
      <c r="D439" t="s">
        <v>2115</v>
      </c>
    </row>
    <row r="440" spans="3:4" hidden="1" outlineLevel="1">
      <c r="C440" t="s">
        <v>1919</v>
      </c>
      <c r="D440" t="s">
        <v>719</v>
      </c>
    </row>
    <row r="441" spans="3:4" hidden="1" outlineLevel="1">
      <c r="C441" t="s">
        <v>1920</v>
      </c>
      <c r="D441" t="s">
        <v>2116</v>
      </c>
    </row>
    <row r="442" spans="3:4" hidden="1" outlineLevel="1">
      <c r="C442" t="s">
        <v>1921</v>
      </c>
      <c r="D442" t="s">
        <v>2117</v>
      </c>
    </row>
    <row r="443" spans="3:4" hidden="1" outlineLevel="1">
      <c r="C443" t="s">
        <v>1922</v>
      </c>
      <c r="D443" t="s">
        <v>2118</v>
      </c>
    </row>
    <row r="444" spans="3:4" hidden="1" outlineLevel="1">
      <c r="C444" t="s">
        <v>1923</v>
      </c>
      <c r="D444" t="s">
        <v>2119</v>
      </c>
    </row>
    <row r="445" spans="3:4" hidden="1" outlineLevel="1">
      <c r="C445" t="s">
        <v>1924</v>
      </c>
      <c r="D445" t="s">
        <v>1093</v>
      </c>
    </row>
    <row r="446" spans="3:4" hidden="1" outlineLevel="1">
      <c r="C446" t="s">
        <v>1925</v>
      </c>
      <c r="D446" t="s">
        <v>1092</v>
      </c>
    </row>
    <row r="447" spans="3:4" hidden="1" outlineLevel="1">
      <c r="C447" t="s">
        <v>1926</v>
      </c>
      <c r="D447" t="s">
        <v>1093</v>
      </c>
    </row>
    <row r="448" spans="3:4" hidden="1" outlineLevel="1">
      <c r="C448" t="s">
        <v>1927</v>
      </c>
      <c r="D448" t="s">
        <v>2120</v>
      </c>
    </row>
    <row r="449" spans="3:4" hidden="1" outlineLevel="1">
      <c r="C449" t="s">
        <v>1928</v>
      </c>
      <c r="D449" t="s">
        <v>1095</v>
      </c>
    </row>
    <row r="450" spans="3:4" hidden="1" outlineLevel="1">
      <c r="C450" t="s">
        <v>1929</v>
      </c>
      <c r="D450" t="s">
        <v>1096</v>
      </c>
    </row>
    <row r="451" spans="3:4" hidden="1" outlineLevel="1">
      <c r="C451" t="s">
        <v>1930</v>
      </c>
      <c r="D451" t="s">
        <v>2121</v>
      </c>
    </row>
    <row r="452" spans="3:4" hidden="1" outlineLevel="1">
      <c r="C452" t="s">
        <v>1931</v>
      </c>
      <c r="D452" t="s">
        <v>2122</v>
      </c>
    </row>
    <row r="453" spans="3:4" hidden="1" outlineLevel="1">
      <c r="C453" t="s">
        <v>1932</v>
      </c>
      <c r="D453" t="s">
        <v>2123</v>
      </c>
    </row>
    <row r="454" spans="3:4" hidden="1" outlineLevel="1">
      <c r="C454" t="s">
        <v>1933</v>
      </c>
      <c r="D454" t="s">
        <v>2124</v>
      </c>
    </row>
    <row r="455" spans="3:4" hidden="1" outlineLevel="1">
      <c r="C455" t="s">
        <v>1934</v>
      </c>
      <c r="D455" t="s">
        <v>2125</v>
      </c>
    </row>
    <row r="456" spans="3:4" hidden="1" outlineLevel="1">
      <c r="C456" t="s">
        <v>1935</v>
      </c>
      <c r="D456" t="s">
        <v>604</v>
      </c>
    </row>
    <row r="457" spans="3:4" hidden="1" outlineLevel="1">
      <c r="C457" t="s">
        <v>1936</v>
      </c>
      <c r="D457" t="s">
        <v>2126</v>
      </c>
    </row>
    <row r="458" spans="3:4" hidden="1" outlineLevel="1">
      <c r="C458" t="s">
        <v>1937</v>
      </c>
      <c r="D458" t="s">
        <v>2127</v>
      </c>
    </row>
    <row r="459" spans="3:4" hidden="1" outlineLevel="1">
      <c r="C459" t="s">
        <v>1938</v>
      </c>
      <c r="D459" t="s">
        <v>2128</v>
      </c>
    </row>
    <row r="460" spans="3:4" hidden="1" outlineLevel="1">
      <c r="C460" t="s">
        <v>1939</v>
      </c>
      <c r="D460" t="s">
        <v>2129</v>
      </c>
    </row>
    <row r="461" spans="3:4" hidden="1" outlineLevel="1">
      <c r="C461" t="s">
        <v>1940</v>
      </c>
      <c r="D461" t="s">
        <v>2130</v>
      </c>
    </row>
    <row r="462" spans="3:4" hidden="1" outlineLevel="1">
      <c r="C462" t="s">
        <v>1941</v>
      </c>
      <c r="D462" t="s">
        <v>2131</v>
      </c>
    </row>
    <row r="463" spans="3:4" hidden="1" outlineLevel="1">
      <c r="C463" t="s">
        <v>1942</v>
      </c>
      <c r="D463" t="s">
        <v>2132</v>
      </c>
    </row>
    <row r="464" spans="3:4" hidden="1" outlineLevel="1">
      <c r="C464" t="s">
        <v>1952</v>
      </c>
      <c r="D464" t="s">
        <v>2133</v>
      </c>
    </row>
    <row r="465" spans="3:4" hidden="1" outlineLevel="1">
      <c r="C465" t="s">
        <v>1953</v>
      </c>
      <c r="D465" t="s">
        <v>2134</v>
      </c>
    </row>
    <row r="466" spans="3:4" hidden="1" outlineLevel="1">
      <c r="C466" t="s">
        <v>1954</v>
      </c>
      <c r="D466" t="s">
        <v>2135</v>
      </c>
    </row>
    <row r="467" spans="3:4" hidden="1" outlineLevel="1">
      <c r="C467" t="s">
        <v>1955</v>
      </c>
      <c r="D467" t="s">
        <v>2136</v>
      </c>
    </row>
    <row r="468" spans="3:4" hidden="1" outlineLevel="1">
      <c r="C468" t="s">
        <v>1956</v>
      </c>
      <c r="D468" t="s">
        <v>2137</v>
      </c>
    </row>
    <row r="469" spans="3:4" hidden="1" outlineLevel="1">
      <c r="C469" t="s">
        <v>1957</v>
      </c>
      <c r="D469" t="s">
        <v>2138</v>
      </c>
    </row>
    <row r="470" spans="3:4" hidden="1" outlineLevel="1">
      <c r="C470" t="s">
        <v>1958</v>
      </c>
      <c r="D470" t="s">
        <v>2139</v>
      </c>
    </row>
    <row r="471" spans="3:4" hidden="1" outlineLevel="1">
      <c r="C471" t="s">
        <v>1959</v>
      </c>
      <c r="D471" t="s">
        <v>2140</v>
      </c>
    </row>
    <row r="472" spans="3:4" collapsed="1">
      <c r="C472" t="s">
        <v>523</v>
      </c>
      <c r="D472" t="s">
        <v>1680</v>
      </c>
    </row>
    <row r="473" spans="3:4">
      <c r="C473" t="s">
        <v>524</v>
      </c>
      <c r="D473" t="s">
        <v>525</v>
      </c>
    </row>
    <row r="474" spans="3:4">
      <c r="C474" t="s">
        <v>526</v>
      </c>
      <c r="D474" t="s">
        <v>657</v>
      </c>
    </row>
    <row r="475" spans="3:4">
      <c r="C475" t="s">
        <v>923</v>
      </c>
      <c r="D475" t="s">
        <v>530</v>
      </c>
    </row>
    <row r="476" spans="3:4">
      <c r="C476" t="s">
        <v>527</v>
      </c>
      <c r="D476" t="s">
        <v>528</v>
      </c>
    </row>
    <row r="477" spans="3:4">
      <c r="C477" t="s">
        <v>529</v>
      </c>
      <c r="D477" t="s">
        <v>528</v>
      </c>
    </row>
    <row r="478" spans="3:4">
      <c r="C478" t="s">
        <v>596</v>
      </c>
      <c r="D478" t="s">
        <v>537</v>
      </c>
    </row>
    <row r="479" spans="3:4">
      <c r="C479" t="s">
        <v>597</v>
      </c>
      <c r="D479" t="s">
        <v>598</v>
      </c>
    </row>
    <row r="481" spans="3:101">
      <c r="C481" t="s">
        <v>537</v>
      </c>
      <c r="D481" t="s">
        <v>533</v>
      </c>
      <c r="E481" t="s">
        <v>929</v>
      </c>
      <c r="F481" t="s">
        <v>10</v>
      </c>
      <c r="G481" t="s">
        <v>930</v>
      </c>
      <c r="H481" t="s">
        <v>1961</v>
      </c>
      <c r="I481" t="s">
        <v>1055</v>
      </c>
      <c r="J481" t="s">
        <v>1056</v>
      </c>
      <c r="K481" t="s">
        <v>1058</v>
      </c>
      <c r="L481" t="s">
        <v>1057</v>
      </c>
      <c r="M481" t="s">
        <v>1784</v>
      </c>
      <c r="N481" t="s">
        <v>2141</v>
      </c>
      <c r="O481" t="s">
        <v>1951</v>
      </c>
      <c r="P481" t="s">
        <v>2061</v>
      </c>
      <c r="Q481" t="s">
        <v>1947</v>
      </c>
      <c r="R481" t="s">
        <v>293</v>
      </c>
      <c r="S481" t="s">
        <v>1813</v>
      </c>
      <c r="T481" t="s">
        <v>3</v>
      </c>
      <c r="U481" t="s">
        <v>2063</v>
      </c>
      <c r="V481" t="s">
        <v>2062</v>
      </c>
      <c r="W481" t="s">
        <v>1948</v>
      </c>
      <c r="X481" t="s">
        <v>1960</v>
      </c>
      <c r="Y481" t="s">
        <v>1950</v>
      </c>
      <c r="Z481" t="s">
        <v>1949</v>
      </c>
      <c r="AA481" t="s">
        <v>9</v>
      </c>
      <c r="AB481" t="s">
        <v>1964</v>
      </c>
      <c r="AC481" t="s">
        <v>295</v>
      </c>
      <c r="AD481" t="s">
        <v>7</v>
      </c>
      <c r="AE481" t="s">
        <v>8</v>
      </c>
      <c r="AF481" t="s">
        <v>1188</v>
      </c>
      <c r="AG481" t="s">
        <v>1716</v>
      </c>
      <c r="AH481" t="s">
        <v>6</v>
      </c>
      <c r="AI481" t="s">
        <v>296</v>
      </c>
      <c r="AJ481" t="s">
        <v>297</v>
      </c>
      <c r="AK481" t="s">
        <v>366</v>
      </c>
      <c r="AL481" t="s">
        <v>1719</v>
      </c>
      <c r="AM481" t="s">
        <v>846</v>
      </c>
      <c r="AN481" t="s">
        <v>9</v>
      </c>
      <c r="AO481" t="s">
        <v>303</v>
      </c>
      <c r="AP481" t="s">
        <v>304</v>
      </c>
      <c r="AQ481" t="s">
        <v>976</v>
      </c>
      <c r="AR481" t="s">
        <v>370</v>
      </c>
      <c r="AS481" t="s">
        <v>365</v>
      </c>
      <c r="AT481" t="s">
        <v>952</v>
      </c>
      <c r="AU481" t="s">
        <v>1661</v>
      </c>
      <c r="AV481" t="s">
        <v>1760</v>
      </c>
      <c r="AW481" t="s">
        <v>1761</v>
      </c>
      <c r="AX481" t="s">
        <v>1762</v>
      </c>
      <c r="AY481" t="s">
        <v>1763</v>
      </c>
      <c r="AZ481" t="s">
        <v>1764</v>
      </c>
      <c r="BA481" t="s">
        <v>1765</v>
      </c>
      <c r="BB481" t="s">
        <v>1766</v>
      </c>
      <c r="BC481" t="s">
        <v>1767</v>
      </c>
      <c r="BD481" t="s">
        <v>1809</v>
      </c>
      <c r="BE481" t="s">
        <v>1943</v>
      </c>
      <c r="BF481" t="s">
        <v>1037</v>
      </c>
      <c r="BG481" t="s">
        <v>748</v>
      </c>
      <c r="BH481" t="s">
        <v>1039</v>
      </c>
      <c r="BI481" t="s">
        <v>1040</v>
      </c>
      <c r="BJ481" t="s">
        <v>1807</v>
      </c>
      <c r="BK481" t="s">
        <v>1808</v>
      </c>
      <c r="BL481" t="s">
        <v>749</v>
      </c>
      <c r="BM481" t="s">
        <v>1041</v>
      </c>
      <c r="BN481" t="s">
        <v>750</v>
      </c>
      <c r="BO481" t="s">
        <v>1944</v>
      </c>
      <c r="BP481" t="s">
        <v>1043</v>
      </c>
      <c r="BQ481" t="s">
        <v>1042</v>
      </c>
      <c r="BR481" t="s">
        <v>720</v>
      </c>
      <c r="BS481" t="s">
        <v>1044</v>
      </c>
      <c r="BT481" t="s">
        <v>1045</v>
      </c>
      <c r="BU481" t="s">
        <v>752</v>
      </c>
      <c r="BV481" t="s">
        <v>753</v>
      </c>
      <c r="BW481" t="s">
        <v>1098</v>
      </c>
      <c r="BX481" t="s">
        <v>1097</v>
      </c>
      <c r="BY481" t="s">
        <v>1098</v>
      </c>
      <c r="BZ481" t="s">
        <v>1099</v>
      </c>
      <c r="CA481" t="s">
        <v>1100</v>
      </c>
      <c r="CB481" t="s">
        <v>1101</v>
      </c>
      <c r="CC481" t="s">
        <v>942</v>
      </c>
      <c r="CD481" t="s">
        <v>1649</v>
      </c>
      <c r="CE481" t="s">
        <v>1650</v>
      </c>
      <c r="CF481" t="s">
        <v>1651</v>
      </c>
      <c r="CG481" t="s">
        <v>1652</v>
      </c>
      <c r="CH481" t="s">
        <v>59</v>
      </c>
      <c r="CI481" t="s">
        <v>60</v>
      </c>
      <c r="CJ481" t="s">
        <v>61</v>
      </c>
      <c r="CK481" t="s">
        <v>62</v>
      </c>
      <c r="CL481" t="s">
        <v>63</v>
      </c>
      <c r="CM481" t="s">
        <v>871</v>
      </c>
      <c r="CN481" t="s">
        <v>977</v>
      </c>
      <c r="CO481" t="s">
        <v>1786</v>
      </c>
      <c r="CP481" t="s">
        <v>934</v>
      </c>
      <c r="CQ481" t="s">
        <v>2071</v>
      </c>
      <c r="CR481" t="s">
        <v>284</v>
      </c>
      <c r="CS481" t="s">
        <v>283</v>
      </c>
      <c r="CT481" t="s">
        <v>64</v>
      </c>
      <c r="CU481" t="s">
        <v>285</v>
      </c>
      <c r="CV481" t="s">
        <v>362</v>
      </c>
      <c r="CW481" t="s">
        <v>1660</v>
      </c>
    </row>
    <row r="482" spans="3:101">
      <c r="C482" t="s">
        <v>35</v>
      </c>
      <c r="D482" t="s">
        <v>2</v>
      </c>
      <c r="E482">
        <v>15026.188</v>
      </c>
      <c r="F482">
        <v>3040.6156000000001</v>
      </c>
      <c r="G482">
        <v>75918.672999999995</v>
      </c>
      <c r="H482">
        <v>934.12477000000001</v>
      </c>
      <c r="I482">
        <v>177.73539</v>
      </c>
      <c r="J482">
        <v>453.15663000000001</v>
      </c>
      <c r="K482">
        <v>525.49215000000004</v>
      </c>
      <c r="L482">
        <v>274.23944</v>
      </c>
      <c r="M482">
        <v>389.32355999999999</v>
      </c>
      <c r="N482">
        <v>392.02352999999999</v>
      </c>
      <c r="O482">
        <v>25.719937000000002</v>
      </c>
      <c r="P482">
        <v>46.894489</v>
      </c>
      <c r="Q482">
        <v>242.46781999999999</v>
      </c>
      <c r="R482">
        <v>256.65120999999999</v>
      </c>
      <c r="S482">
        <v>415.48111</v>
      </c>
      <c r="T482">
        <v>164.81960000000001</v>
      </c>
      <c r="U482">
        <v>233.89213000000001</v>
      </c>
      <c r="V482">
        <v>109.65618000000001</v>
      </c>
      <c r="W482">
        <v>0</v>
      </c>
      <c r="X482">
        <v>339.71348999999998</v>
      </c>
      <c r="Y482">
        <v>95.210719999999995</v>
      </c>
      <c r="Z482">
        <v>97.144915999999995</v>
      </c>
      <c r="AA482">
        <v>5.4273455000000004</v>
      </c>
      <c r="AB482">
        <v>251.44507999999999</v>
      </c>
      <c r="AC482">
        <v>463.31988000000001</v>
      </c>
      <c r="AD482">
        <v>859.92828999999995</v>
      </c>
      <c r="AE482">
        <v>1.2522221</v>
      </c>
      <c r="AF482">
        <v>1.8277922</v>
      </c>
      <c r="AG482">
        <v>44.411498000000002</v>
      </c>
      <c r="AH482">
        <v>65.943900999999997</v>
      </c>
      <c r="AI482">
        <v>69.515546999999998</v>
      </c>
      <c r="AJ482">
        <v>74.941070999999994</v>
      </c>
      <c r="AK482">
        <v>59.766216999999997</v>
      </c>
      <c r="AL482">
        <v>56.411200999999998</v>
      </c>
      <c r="AM482">
        <v>39000</v>
      </c>
      <c r="AN482">
        <v>5.4273455000000004</v>
      </c>
      <c r="AO482">
        <v>1168190.8</v>
      </c>
      <c r="AP482">
        <v>1192349.8999999999</v>
      </c>
      <c r="AQ482">
        <v>86913.172000000006</v>
      </c>
      <c r="AR482">
        <v>1641491.2</v>
      </c>
      <c r="AS482">
        <v>3905.1736000000001</v>
      </c>
      <c r="AT482">
        <v>28269.486000000001</v>
      </c>
      <c r="AU482">
        <v>1975.2331999999999</v>
      </c>
      <c r="AV482">
        <v>713.00482999999997</v>
      </c>
      <c r="AW482">
        <v>3197.7555000000002</v>
      </c>
      <c r="AX482">
        <v>27182.091</v>
      </c>
      <c r="AY482">
        <v>855.18750999999997</v>
      </c>
      <c r="AZ482">
        <v>1096.8227999999999</v>
      </c>
      <c r="BA482">
        <v>927.86649999999997</v>
      </c>
      <c r="BB482">
        <v>1516.2409</v>
      </c>
      <c r="BC482">
        <v>783.06817999999998</v>
      </c>
      <c r="BD482" s="169">
        <v>14466.371999999999</v>
      </c>
      <c r="BE482">
        <v>9628.0306</v>
      </c>
      <c r="BF482">
        <v>550.096</v>
      </c>
      <c r="BG482">
        <v>227.52576999999999</v>
      </c>
      <c r="BH482">
        <v>317.87313999999998</v>
      </c>
      <c r="BI482">
        <v>248.45686000000001</v>
      </c>
      <c r="BJ482">
        <v>1029.6804999999999</v>
      </c>
      <c r="BK482">
        <v>798.06155000000001</v>
      </c>
      <c r="BL482">
        <v>11949.826999999999</v>
      </c>
      <c r="BM482">
        <v>185.49520999999999</v>
      </c>
      <c r="BN482">
        <v>316.16967</v>
      </c>
      <c r="BO482">
        <v>2054.8199</v>
      </c>
      <c r="BP482">
        <v>2377.8107</v>
      </c>
      <c r="BQ482">
        <v>211.78297000000001</v>
      </c>
      <c r="BR482">
        <v>306.29455000000002</v>
      </c>
      <c r="BS482">
        <v>120.10393999999999</v>
      </c>
      <c r="BT482">
        <v>90.234363000000002</v>
      </c>
      <c r="BU482">
        <v>151.14988</v>
      </c>
      <c r="BV482">
        <v>55.374447000000004</v>
      </c>
      <c r="BW482">
        <v>142.27323000000001</v>
      </c>
      <c r="BX482">
        <v>276.24950000000001</v>
      </c>
      <c r="BY482">
        <v>142.27323000000001</v>
      </c>
      <c r="BZ482">
        <v>3920.6516000000001</v>
      </c>
      <c r="CA482">
        <v>3401.7422000000001</v>
      </c>
      <c r="CB482">
        <v>1281.4287999999999</v>
      </c>
      <c r="CC482">
        <v>45.250048</v>
      </c>
      <c r="CD482">
        <v>3454.2310000000002</v>
      </c>
      <c r="CE482">
        <v>1348.2847999999999</v>
      </c>
      <c r="CF482">
        <v>1292.0724</v>
      </c>
      <c r="CG482">
        <v>1400.3979999999999</v>
      </c>
      <c r="CH482">
        <v>76.642319000000001</v>
      </c>
      <c r="CI482">
        <v>80.761602999999994</v>
      </c>
      <c r="CJ482">
        <v>138.24521999999999</v>
      </c>
      <c r="CK482">
        <v>54.218124000000003</v>
      </c>
      <c r="CL482">
        <v>7.4856575999999994E-2</v>
      </c>
      <c r="CM482">
        <v>0.17813954000000001</v>
      </c>
      <c r="CN482">
        <v>0.11104559</v>
      </c>
      <c r="CO482">
        <v>0.15420213999999999</v>
      </c>
      <c r="CP482">
        <v>0.20526536000000001</v>
      </c>
      <c r="CQ482">
        <v>0.15521462999999999</v>
      </c>
      <c r="CR482">
        <v>6.0359978999999999</v>
      </c>
      <c r="CS482">
        <v>25.440217000000001</v>
      </c>
      <c r="CT482">
        <v>945.30798000000004</v>
      </c>
      <c r="CU482">
        <v>107.04373</v>
      </c>
      <c r="CV482">
        <v>223.62377000000001</v>
      </c>
      <c r="CW482">
        <v>3357.3582999999999</v>
      </c>
    </row>
    <row r="483" spans="3:101">
      <c r="C483" t="s">
        <v>1158</v>
      </c>
      <c r="D483" t="s">
        <v>2</v>
      </c>
      <c r="E483">
        <v>23.586653999999999</v>
      </c>
      <c r="F483">
        <v>4.7502908000000001</v>
      </c>
      <c r="G483">
        <v>99.594207999999995</v>
      </c>
      <c r="H483">
        <v>420.94427999999999</v>
      </c>
      <c r="I483">
        <v>0</v>
      </c>
      <c r="J483">
        <v>0</v>
      </c>
      <c r="K483">
        <v>0</v>
      </c>
      <c r="L483">
        <v>0</v>
      </c>
      <c r="M483">
        <v>0</v>
      </c>
      <c r="N483">
        <v>0</v>
      </c>
      <c r="O483">
        <v>5.4092689999999999E-2</v>
      </c>
      <c r="P483">
        <v>1.5010158</v>
      </c>
      <c r="Q483">
        <v>1.7996608999999999</v>
      </c>
      <c r="R483">
        <v>1.6900652</v>
      </c>
      <c r="S483">
        <v>1.7844222000000001</v>
      </c>
      <c r="T483">
        <v>4.1018198999999998E-2</v>
      </c>
      <c r="U483">
        <v>0.14422214</v>
      </c>
      <c r="V483">
        <v>7.6528315999999999E-2</v>
      </c>
      <c r="W483">
        <v>0</v>
      </c>
      <c r="X483">
        <v>0.21323956999999999</v>
      </c>
      <c r="Y483">
        <v>6.7214744000000007E-2</v>
      </c>
      <c r="Z483">
        <v>0.10140799</v>
      </c>
      <c r="AA483">
        <v>9.5361065000000005E-3</v>
      </c>
      <c r="AB483">
        <v>0.96417016</v>
      </c>
      <c r="AC483">
        <v>1.2843302000000001</v>
      </c>
      <c r="AD483">
        <v>0</v>
      </c>
      <c r="AE483">
        <v>1.1346469999999999E-3</v>
      </c>
      <c r="AF483">
        <v>1.9288998E-3</v>
      </c>
      <c r="AG483">
        <v>0</v>
      </c>
      <c r="AH483">
        <v>9.6972036000000008E-3</v>
      </c>
      <c r="AI483">
        <v>1.1381768E-2</v>
      </c>
      <c r="AJ483">
        <v>8.8845169999999998E-3</v>
      </c>
      <c r="AK483">
        <v>3.1356362999999999E-3</v>
      </c>
      <c r="AL483">
        <v>1.7795018E-4</v>
      </c>
      <c r="AM483">
        <v>0</v>
      </c>
      <c r="AN483">
        <v>9.5361065000000005E-3</v>
      </c>
      <c r="AO483">
        <v>14.07714</v>
      </c>
      <c r="AP483">
        <v>5.5912683999999997</v>
      </c>
      <c r="AQ483">
        <v>93.371003999999999</v>
      </c>
      <c r="AR483">
        <v>1255.7012</v>
      </c>
      <c r="AS483">
        <v>2.4066814999999999</v>
      </c>
      <c r="AT483">
        <v>5.1239553000000004</v>
      </c>
      <c r="AU483">
        <v>2.7566989</v>
      </c>
      <c r="AV483">
        <v>0.41408130999999998</v>
      </c>
      <c r="AW483">
        <v>2.5748433999999998</v>
      </c>
      <c r="AX483">
        <v>60.712670000000003</v>
      </c>
      <c r="AY483">
        <v>1.0402393000000001</v>
      </c>
      <c r="AZ483">
        <v>0.62468851000000003</v>
      </c>
      <c r="BA483">
        <v>6.2304747999999996</v>
      </c>
      <c r="BB483">
        <v>3.7071198999999999</v>
      </c>
      <c r="BC483">
        <v>1.9456169999999999</v>
      </c>
      <c r="BD483" s="169">
        <v>12.661985</v>
      </c>
      <c r="BE483">
        <v>4.4891084000000001</v>
      </c>
      <c r="BF483">
        <v>0.14253275000000001</v>
      </c>
      <c r="BG483">
        <v>8.4844354999999996E-2</v>
      </c>
      <c r="BH483">
        <v>0.11119279</v>
      </c>
      <c r="BI483">
        <v>0.10361404</v>
      </c>
      <c r="BJ483">
        <v>0.39653092000000001</v>
      </c>
      <c r="BK483">
        <v>0.19069738999999999</v>
      </c>
      <c r="BL483">
        <v>5.9200588999999999</v>
      </c>
      <c r="BM483">
        <v>0.10319979999999999</v>
      </c>
      <c r="BN483">
        <v>0.19185923999999999</v>
      </c>
      <c r="BO483">
        <v>0.95715832000000001</v>
      </c>
      <c r="BP483">
        <v>0.59705684999999997</v>
      </c>
      <c r="BQ483">
        <v>7.5531871E-2</v>
      </c>
      <c r="BR483">
        <v>9.1688468999999995E-2</v>
      </c>
      <c r="BS483">
        <v>3.6503115000000003E-2</v>
      </c>
      <c r="BT483">
        <v>3.2452789000000003E-2</v>
      </c>
      <c r="BU483">
        <v>0.23281726999999999</v>
      </c>
      <c r="BV483">
        <v>3.2844775E-2</v>
      </c>
      <c r="BW483">
        <v>0.20286937999999999</v>
      </c>
      <c r="BX483">
        <v>1.0362465000000001</v>
      </c>
      <c r="BY483">
        <v>0.20286937999999999</v>
      </c>
      <c r="BZ483">
        <v>1.9491018</v>
      </c>
      <c r="CA483">
        <v>0.85610452000000004</v>
      </c>
      <c r="CB483">
        <v>1.133737</v>
      </c>
      <c r="CC483">
        <v>2.7850304999999999E-2</v>
      </c>
      <c r="CD483">
        <v>6.5353275000000002</v>
      </c>
      <c r="CE483">
        <v>4.6823891</v>
      </c>
      <c r="CF483">
        <v>7.8517193000000001</v>
      </c>
      <c r="CG483">
        <v>3.6096561</v>
      </c>
      <c r="CH483">
        <v>1.5418146000000001E-2</v>
      </c>
      <c r="CI483">
        <v>2.0098917000000001E-2</v>
      </c>
      <c r="CJ483">
        <v>0.12665931999999999</v>
      </c>
      <c r="CK483">
        <v>4.3513914000000001E-2</v>
      </c>
      <c r="CL483" s="4">
        <v>1.4478399000000001E-5</v>
      </c>
      <c r="CM483" s="4">
        <v>1.4478399000000001E-5</v>
      </c>
      <c r="CN483" s="4">
        <v>1.4478399000000001E-5</v>
      </c>
      <c r="CO483" s="4">
        <v>1.4478399000000001E-5</v>
      </c>
      <c r="CP483" s="4">
        <v>1.4478399000000001E-5</v>
      </c>
      <c r="CQ483" s="4">
        <v>1.4478399000000001E-5</v>
      </c>
      <c r="CR483">
        <v>6.1353513000000004E-3</v>
      </c>
      <c r="CS483">
        <v>2.5858967E-2</v>
      </c>
      <c r="CT483">
        <v>0.96086788999999995</v>
      </c>
      <c r="CU483">
        <v>8.1906119999999999E-2</v>
      </c>
      <c r="CV483">
        <v>6.4865310999999995E-2</v>
      </c>
      <c r="CW483">
        <v>5.9615685999999997</v>
      </c>
    </row>
    <row r="484" spans="3:101">
      <c r="C484" t="s">
        <v>56</v>
      </c>
      <c r="D484" t="s">
        <v>2</v>
      </c>
      <c r="E484">
        <v>515.63346000000001</v>
      </c>
      <c r="F484">
        <v>64.274550000000005</v>
      </c>
      <c r="G484">
        <v>1704.9579000000001</v>
      </c>
      <c r="H484">
        <v>25.666585999999999</v>
      </c>
      <c r="I484">
        <v>18.73762</v>
      </c>
      <c r="J484">
        <v>31.692087000000001</v>
      </c>
      <c r="K484">
        <v>42.838914000000003</v>
      </c>
      <c r="L484">
        <v>18.95825</v>
      </c>
      <c r="M484">
        <v>34.706896999999998</v>
      </c>
      <c r="N484">
        <v>28.265419000000001</v>
      </c>
      <c r="O484">
        <v>4.0649493000000003</v>
      </c>
      <c r="P484">
        <v>4.9874638999999998</v>
      </c>
      <c r="Q484">
        <v>16.469332999999999</v>
      </c>
      <c r="R484">
        <v>16.015522000000001</v>
      </c>
      <c r="S484">
        <v>18.382193000000001</v>
      </c>
      <c r="T484">
        <v>14.832307</v>
      </c>
      <c r="U484">
        <v>6.1204014000000004</v>
      </c>
      <c r="V484">
        <v>3.8900708000000002</v>
      </c>
      <c r="W484">
        <v>0</v>
      </c>
      <c r="X484">
        <v>3.0692436000000001</v>
      </c>
      <c r="Y484">
        <v>5.5915185000000003</v>
      </c>
      <c r="Z484">
        <v>6.5458575000000003</v>
      </c>
      <c r="AA484">
        <v>0.40460534999999997</v>
      </c>
      <c r="AB484">
        <v>9.7661426999999996</v>
      </c>
      <c r="AC484">
        <v>16.408660999999999</v>
      </c>
      <c r="AD484">
        <v>0</v>
      </c>
      <c r="AE484">
        <v>4.0054214999999997E-2</v>
      </c>
      <c r="AF484">
        <v>6.8092163999999997E-2</v>
      </c>
      <c r="AG484">
        <v>0</v>
      </c>
      <c r="AH484">
        <v>0.14206556000000001</v>
      </c>
      <c r="AI484">
        <v>0.16577744999999999</v>
      </c>
      <c r="AJ484">
        <v>0.12569399000000001</v>
      </c>
      <c r="AK484">
        <v>6.8946729999999998E-2</v>
      </c>
      <c r="AL484">
        <v>6.2218042000000001E-3</v>
      </c>
      <c r="AM484">
        <v>0</v>
      </c>
      <c r="AN484">
        <v>0.40460534999999997</v>
      </c>
      <c r="AO484">
        <v>175.12979000000001</v>
      </c>
      <c r="AP484">
        <v>66.841764999999995</v>
      </c>
      <c r="AQ484">
        <v>1448.3821</v>
      </c>
      <c r="AR484">
        <v>8389.8471000000009</v>
      </c>
      <c r="AS484">
        <v>18.814518</v>
      </c>
      <c r="AT484">
        <v>150.43068</v>
      </c>
      <c r="AU484">
        <v>23.702611000000001</v>
      </c>
      <c r="AV484">
        <v>7.9413869000000004</v>
      </c>
      <c r="AW484">
        <v>58.411444000000003</v>
      </c>
      <c r="AX484">
        <v>685.41209000000003</v>
      </c>
      <c r="AY484">
        <v>14.148160000000001</v>
      </c>
      <c r="AZ484">
        <v>16.238076</v>
      </c>
      <c r="BA484">
        <v>39.299520000000001</v>
      </c>
      <c r="BB484">
        <v>41.350653000000001</v>
      </c>
      <c r="BC484">
        <v>21.855695000000001</v>
      </c>
      <c r="BD484" s="169">
        <v>94.231393999999995</v>
      </c>
      <c r="BE484">
        <v>133.81324000000001</v>
      </c>
      <c r="BF484">
        <v>21.191403000000001</v>
      </c>
      <c r="BG484">
        <v>17.804666000000001</v>
      </c>
      <c r="BH484">
        <v>8.7935079999999992</v>
      </c>
      <c r="BI484">
        <v>8.7746078000000001</v>
      </c>
      <c r="BJ484">
        <v>28.184041000000001</v>
      </c>
      <c r="BK484">
        <v>7.0244568000000003</v>
      </c>
      <c r="BL484">
        <v>88.835559000000003</v>
      </c>
      <c r="BM484">
        <v>7.1978166999999997</v>
      </c>
      <c r="BN484">
        <v>9.7072661999999994</v>
      </c>
      <c r="BO484">
        <v>28.526603000000001</v>
      </c>
      <c r="BP484">
        <v>24.634246000000001</v>
      </c>
      <c r="BQ484">
        <v>5.1185007000000002</v>
      </c>
      <c r="BR484">
        <v>4.5928434999999999</v>
      </c>
      <c r="BS484">
        <v>2.9374033000000002</v>
      </c>
      <c r="BT484">
        <v>2.8830276000000001</v>
      </c>
      <c r="BU484">
        <v>10.655567</v>
      </c>
      <c r="BV484">
        <v>1.7206239999999999</v>
      </c>
      <c r="BW484">
        <v>11.723539000000001</v>
      </c>
      <c r="BX484">
        <v>22.927223999999999</v>
      </c>
      <c r="BY484">
        <v>11.723539000000001</v>
      </c>
      <c r="BZ484">
        <v>62.444557000000003</v>
      </c>
      <c r="CA484">
        <v>46.693933999999999</v>
      </c>
      <c r="CB484">
        <v>50.771600999999997</v>
      </c>
      <c r="CC484">
        <v>1.3698958000000001</v>
      </c>
      <c r="CD484">
        <v>223.73734999999999</v>
      </c>
      <c r="CE484">
        <v>68.326362000000003</v>
      </c>
      <c r="CF484">
        <v>74.377960999999999</v>
      </c>
      <c r="CG484">
        <v>48.737209</v>
      </c>
      <c r="CH484">
        <v>7.2276233000000003</v>
      </c>
      <c r="CI484">
        <v>7.2678304999999996</v>
      </c>
      <c r="CJ484">
        <v>12.591321000000001</v>
      </c>
      <c r="CK484">
        <v>2.1710452</v>
      </c>
      <c r="CL484">
        <v>7.2199441999999999E-3</v>
      </c>
      <c r="CM484">
        <v>1.2077869E-2</v>
      </c>
      <c r="CN484">
        <v>7.3026801999999998E-3</v>
      </c>
      <c r="CO484">
        <v>1.3208423E-2</v>
      </c>
      <c r="CP484">
        <v>1.6257929000000001E-2</v>
      </c>
      <c r="CQ484">
        <v>1.0792869E-2</v>
      </c>
      <c r="CR484">
        <v>7.0465685E-2</v>
      </c>
      <c r="CS484">
        <v>0.29699519000000002</v>
      </c>
      <c r="CT484">
        <v>11.035752</v>
      </c>
      <c r="CU484">
        <v>1.9456969</v>
      </c>
      <c r="CV484">
        <v>20.635448</v>
      </c>
      <c r="CW484">
        <v>92.411935999999997</v>
      </c>
    </row>
    <row r="485" spans="3:101">
      <c r="C485" t="s">
        <v>1159</v>
      </c>
      <c r="D485" t="s">
        <v>2</v>
      </c>
      <c r="E485">
        <v>1334.5753999999999</v>
      </c>
      <c r="F485">
        <v>393.47993000000002</v>
      </c>
      <c r="G485">
        <v>10080.195</v>
      </c>
      <c r="H485">
        <v>6.9236043</v>
      </c>
      <c r="I485">
        <v>1.6052525</v>
      </c>
      <c r="J485">
        <v>2.7354414</v>
      </c>
      <c r="K485">
        <v>2.5216172000000001</v>
      </c>
      <c r="L485">
        <v>2.6740594</v>
      </c>
      <c r="M485">
        <v>1.7810059</v>
      </c>
      <c r="N485">
        <v>2.0465000999999998</v>
      </c>
      <c r="O485">
        <v>1.9124753999999999</v>
      </c>
      <c r="P485">
        <v>3.8388168</v>
      </c>
      <c r="Q485">
        <v>1.7492430000000001</v>
      </c>
      <c r="R485">
        <v>1.6154847000000001</v>
      </c>
      <c r="S485">
        <v>2.8941876999999998</v>
      </c>
      <c r="T485">
        <v>1.9359043</v>
      </c>
      <c r="U485">
        <v>2.0046020000000002</v>
      </c>
      <c r="V485">
        <v>1.5997041000000001</v>
      </c>
      <c r="W485">
        <v>0</v>
      </c>
      <c r="X485">
        <v>2.3604471999999999</v>
      </c>
      <c r="Y485">
        <v>0.95171667999999998</v>
      </c>
      <c r="Z485">
        <v>1.2906679000000001</v>
      </c>
      <c r="AA485">
        <v>0.11834509999999999</v>
      </c>
      <c r="AB485">
        <v>6.7033617999999997</v>
      </c>
      <c r="AC485">
        <v>8.7080254000000004</v>
      </c>
      <c r="AD485">
        <v>0</v>
      </c>
      <c r="AE485">
        <v>9.4223146999999993E-2</v>
      </c>
      <c r="AF485">
        <v>0.16017934</v>
      </c>
      <c r="AG485">
        <v>0</v>
      </c>
      <c r="AH485">
        <v>9.6770728E-2</v>
      </c>
      <c r="AI485">
        <v>7.1091538999999995E-2</v>
      </c>
      <c r="AJ485">
        <v>5.4336048999999997E-2</v>
      </c>
      <c r="AK485">
        <v>0.15825582999999999</v>
      </c>
      <c r="AL485">
        <v>6.6494924999999996E-3</v>
      </c>
      <c r="AM485">
        <v>0</v>
      </c>
      <c r="AN485">
        <v>0.11834509999999999</v>
      </c>
      <c r="AO485">
        <v>100.79389999999999</v>
      </c>
      <c r="AP485">
        <v>44.985354000000001</v>
      </c>
      <c r="AQ485">
        <v>1902.8749</v>
      </c>
      <c r="AR485">
        <v>1470.9585999999999</v>
      </c>
      <c r="AS485">
        <v>52.602367999999998</v>
      </c>
      <c r="AT485">
        <v>78.288415999999998</v>
      </c>
      <c r="AU485">
        <v>54.753382999999999</v>
      </c>
      <c r="AV485">
        <v>3.2892231999999999</v>
      </c>
      <c r="AW485">
        <v>13.978505999999999</v>
      </c>
      <c r="AX485">
        <v>215.02744000000001</v>
      </c>
      <c r="AY485">
        <v>4.6144527999999996</v>
      </c>
      <c r="AZ485">
        <v>3.8579970000000001</v>
      </c>
      <c r="BA485">
        <v>8.2474215999999991</v>
      </c>
      <c r="BB485">
        <v>12.913421</v>
      </c>
      <c r="BC485">
        <v>7.0902874999999996</v>
      </c>
      <c r="BD485" s="1051">
        <v>27.385365</v>
      </c>
      <c r="BE485">
        <v>36.099806999999998</v>
      </c>
      <c r="BF485">
        <v>0.88020023999999997</v>
      </c>
      <c r="BG485">
        <v>2.6898038999999998</v>
      </c>
      <c r="BH485">
        <v>0.67254570000000002</v>
      </c>
      <c r="BI485">
        <v>0.60679857999999998</v>
      </c>
      <c r="BJ485">
        <v>5.3627649999999996</v>
      </c>
      <c r="BK485">
        <v>1.8394467999999999</v>
      </c>
      <c r="BL485">
        <v>39.257075999999998</v>
      </c>
      <c r="BM485">
        <v>0.75595774000000004</v>
      </c>
      <c r="BN485">
        <v>1.4678511000000001</v>
      </c>
      <c r="BO485">
        <v>7.7045392000000001</v>
      </c>
      <c r="BP485">
        <v>3.6664574000000001</v>
      </c>
      <c r="BQ485">
        <v>0.43380289999999999</v>
      </c>
      <c r="BR485">
        <v>0.54640506</v>
      </c>
      <c r="BS485">
        <v>0.25829984</v>
      </c>
      <c r="BT485">
        <v>0.23065616</v>
      </c>
      <c r="BU485">
        <v>2.5488985</v>
      </c>
      <c r="BV485">
        <v>0.25449301000000002</v>
      </c>
      <c r="BW485">
        <v>2.3175492000000002</v>
      </c>
      <c r="BX485">
        <v>3.8985208999999998</v>
      </c>
      <c r="BY485">
        <v>2.3175492000000002</v>
      </c>
      <c r="BZ485">
        <v>16.086963999999998</v>
      </c>
      <c r="CA485">
        <v>5.5898211</v>
      </c>
      <c r="CB485">
        <v>6.2721137999999996</v>
      </c>
      <c r="CC485">
        <v>0.18899216999999999</v>
      </c>
      <c r="CD485">
        <v>60.109935999999998</v>
      </c>
      <c r="CE485">
        <v>44.635539999999999</v>
      </c>
      <c r="CF485">
        <v>17.878661999999998</v>
      </c>
      <c r="CG485">
        <v>54.711570999999999</v>
      </c>
      <c r="CH485">
        <v>0.94049614000000004</v>
      </c>
      <c r="CI485">
        <v>0.94859311999999996</v>
      </c>
      <c r="CJ485">
        <v>1.6765614</v>
      </c>
      <c r="CK485">
        <v>3.6620829000000001</v>
      </c>
      <c r="CL485">
        <v>1.7211101999999999E-3</v>
      </c>
      <c r="CM485">
        <v>2.1449310000000001E-3</v>
      </c>
      <c r="CN485">
        <v>2.1219127999999999E-3</v>
      </c>
      <c r="CO485">
        <v>1.7870176999999999E-3</v>
      </c>
      <c r="CP485">
        <v>2.0647469E-3</v>
      </c>
      <c r="CQ485">
        <v>1.8865780000000001E-3</v>
      </c>
      <c r="CR485">
        <v>2.9291820999999999E-2</v>
      </c>
      <c r="CS485">
        <v>0.12345768</v>
      </c>
      <c r="CT485">
        <v>4.5874423999999996</v>
      </c>
      <c r="CU485">
        <v>1.6229861000000001</v>
      </c>
      <c r="CV485">
        <v>2.7043751999999999</v>
      </c>
      <c r="CW485">
        <v>96.251116999999994</v>
      </c>
    </row>
    <row r="486" spans="3:101">
      <c r="C486" t="s">
        <v>737</v>
      </c>
      <c r="D486" t="s">
        <v>2</v>
      </c>
      <c r="E486">
        <v>992.01247000000001</v>
      </c>
      <c r="F486">
        <v>291.26024000000001</v>
      </c>
      <c r="G486">
        <v>1441.904</v>
      </c>
      <c r="H486">
        <v>5.0352921999999998</v>
      </c>
      <c r="I486">
        <v>0.59500213999999996</v>
      </c>
      <c r="J486">
        <v>1.7925169000000001</v>
      </c>
      <c r="K486">
        <v>3.0485828000000001</v>
      </c>
      <c r="L486">
        <v>6.7229783999999997</v>
      </c>
      <c r="M486">
        <v>4.6225947999999999</v>
      </c>
      <c r="N486">
        <v>1.5528322999999999</v>
      </c>
      <c r="O486">
        <v>8.1340662999999994E-2</v>
      </c>
      <c r="P486">
        <v>0.38616125000000001</v>
      </c>
      <c r="Q486">
        <v>0.31014480999999999</v>
      </c>
      <c r="R486">
        <v>0.32855000000000001</v>
      </c>
      <c r="S486">
        <v>0.62279138000000001</v>
      </c>
      <c r="T486">
        <v>8.3498589999999998E-2</v>
      </c>
      <c r="U486">
        <v>21.666774</v>
      </c>
      <c r="V486">
        <v>0.29094787</v>
      </c>
      <c r="W486">
        <v>0</v>
      </c>
      <c r="X486">
        <v>0.42550178999999999</v>
      </c>
      <c r="Y486">
        <v>1.7239987000000001</v>
      </c>
      <c r="Z486">
        <v>6.8009949000000001</v>
      </c>
      <c r="AA486">
        <v>7.8674308999999998E-3</v>
      </c>
      <c r="AB486">
        <v>3.8511354999999998</v>
      </c>
      <c r="AC486">
        <v>2.7465836000000001</v>
      </c>
      <c r="AD486">
        <v>0</v>
      </c>
      <c r="AE486">
        <v>5.7961866999999999E-3</v>
      </c>
      <c r="AF486">
        <v>9.8535172999999997E-3</v>
      </c>
      <c r="AG486">
        <v>0</v>
      </c>
      <c r="AH486">
        <v>1.8195851999999998E-2</v>
      </c>
      <c r="AI486">
        <v>1.8822531999999999E-2</v>
      </c>
      <c r="AJ486">
        <v>1.7011933999999999E-2</v>
      </c>
      <c r="AK486">
        <v>5.4164158000000002E-3</v>
      </c>
      <c r="AL486">
        <v>3.4133006000000002E-4</v>
      </c>
      <c r="AM486">
        <v>0</v>
      </c>
      <c r="AN486">
        <v>7.8674308999999998E-3</v>
      </c>
      <c r="AO486">
        <v>18.612335000000002</v>
      </c>
      <c r="AP486">
        <v>7.6915399999999998</v>
      </c>
      <c r="AQ486">
        <v>318.64952</v>
      </c>
      <c r="AR486">
        <v>180.42787999999999</v>
      </c>
      <c r="AS486">
        <v>2.6078350000000001</v>
      </c>
      <c r="AT486">
        <v>4.7828641000000003</v>
      </c>
      <c r="AU486">
        <v>2.5682231999999998</v>
      </c>
      <c r="AV486">
        <v>91.390617000000006</v>
      </c>
      <c r="AW486">
        <v>453.93797999999998</v>
      </c>
      <c r="AX486">
        <v>4969.3573999999999</v>
      </c>
      <c r="AY486">
        <v>102.12161999999999</v>
      </c>
      <c r="AZ486">
        <v>166.36180999999999</v>
      </c>
      <c r="BA486">
        <v>117.53751</v>
      </c>
      <c r="BB486">
        <v>270.93027000000001</v>
      </c>
      <c r="BC486">
        <v>136.69851</v>
      </c>
      <c r="BD486" s="1051">
        <v>2332.3123000000001</v>
      </c>
      <c r="BE486">
        <v>2187.4299000000001</v>
      </c>
      <c r="BF486">
        <v>65.902266999999995</v>
      </c>
      <c r="BG486">
        <v>7.0976220000000003</v>
      </c>
      <c r="BH486">
        <v>66.679258000000004</v>
      </c>
      <c r="BI486">
        <v>82.222053000000002</v>
      </c>
      <c r="BJ486">
        <v>200.10982999999999</v>
      </c>
      <c r="BK486">
        <v>135.80928</v>
      </c>
      <c r="BL486">
        <v>5415.7728999999999</v>
      </c>
      <c r="BM486">
        <v>74.559696000000002</v>
      </c>
      <c r="BN486">
        <v>77.497950000000003</v>
      </c>
      <c r="BO486">
        <v>466.97421000000003</v>
      </c>
      <c r="BP486">
        <v>437.93254999999999</v>
      </c>
      <c r="BQ486">
        <v>62.019604999999999</v>
      </c>
      <c r="BR486">
        <v>93.839567000000002</v>
      </c>
      <c r="BS486">
        <v>21.613661</v>
      </c>
      <c r="BT486">
        <v>21.338443000000002</v>
      </c>
      <c r="BU486">
        <v>0.86408284000000002</v>
      </c>
      <c r="BV486">
        <v>13.435632</v>
      </c>
      <c r="BW486">
        <v>0.67623922999999997</v>
      </c>
      <c r="BX486">
        <v>0.72353078999999998</v>
      </c>
      <c r="BY486">
        <v>0.67623922999999997</v>
      </c>
      <c r="BZ486">
        <v>868.23869000000002</v>
      </c>
      <c r="CA486">
        <v>866.81092000000001</v>
      </c>
      <c r="CB486">
        <v>73.030486999999994</v>
      </c>
      <c r="CC486">
        <v>11.489720999999999</v>
      </c>
      <c r="CD486">
        <v>5.1296780000000002</v>
      </c>
      <c r="CE486">
        <v>2.2518799</v>
      </c>
      <c r="CF486">
        <v>1.4073042</v>
      </c>
      <c r="CG486">
        <v>3.2303872999999999</v>
      </c>
      <c r="CH486">
        <v>3.3874583E-2</v>
      </c>
      <c r="CI486">
        <v>4.0914309000000003E-2</v>
      </c>
      <c r="CJ486">
        <v>6.3121416999999999E-2</v>
      </c>
      <c r="CK486">
        <v>9.2835847999999999E-2</v>
      </c>
      <c r="CL486">
        <v>3.5477658999999998E-4</v>
      </c>
      <c r="CM486">
        <v>8.0384464E-4</v>
      </c>
      <c r="CN486">
        <v>2.6527677000000001E-3</v>
      </c>
      <c r="CO486">
        <v>1.8651239000000001E-3</v>
      </c>
      <c r="CP486">
        <v>1.2748693E-3</v>
      </c>
      <c r="CQ486">
        <v>7.1396291E-4</v>
      </c>
      <c r="CR486">
        <v>4.9314576000000004E-3</v>
      </c>
      <c r="CS486">
        <v>2.0784857E-2</v>
      </c>
      <c r="CT486">
        <v>0.77232403999999999</v>
      </c>
      <c r="CU486">
        <v>0.23934367000000001</v>
      </c>
      <c r="CV486">
        <v>0.11762618</v>
      </c>
      <c r="CW486">
        <v>5.2604518999999996</v>
      </c>
    </row>
    <row r="487" spans="3:101">
      <c r="C487" t="s">
        <v>1160</v>
      </c>
      <c r="D487" t="s">
        <v>2</v>
      </c>
      <c r="E487">
        <v>4415.4875000000002</v>
      </c>
      <c r="F487">
        <v>954.19500000000005</v>
      </c>
      <c r="G487">
        <v>18969.663</v>
      </c>
      <c r="H487">
        <v>198.13746</v>
      </c>
      <c r="I487">
        <v>44.952730000000003</v>
      </c>
      <c r="J487">
        <v>282.09210999999999</v>
      </c>
      <c r="K487">
        <v>214.13323</v>
      </c>
      <c r="L487">
        <v>148.16615999999999</v>
      </c>
      <c r="M487">
        <v>171.17191</v>
      </c>
      <c r="N487">
        <v>146.09437</v>
      </c>
      <c r="O487">
        <v>5.8224662</v>
      </c>
      <c r="P487">
        <v>13.166016000000001</v>
      </c>
      <c r="Q487">
        <v>160.92194000000001</v>
      </c>
      <c r="R487">
        <v>162.9725</v>
      </c>
      <c r="S487">
        <v>180.28851</v>
      </c>
      <c r="T487">
        <v>120.26611</v>
      </c>
      <c r="U487">
        <v>83.437922999999998</v>
      </c>
      <c r="V487">
        <v>56.287548999999999</v>
      </c>
      <c r="W487">
        <v>0</v>
      </c>
      <c r="X487">
        <v>30.236968999999998</v>
      </c>
      <c r="Y487">
        <v>7.9616159</v>
      </c>
      <c r="Z487">
        <v>16.065916999999999</v>
      </c>
      <c r="AA487">
        <v>1.4638145</v>
      </c>
      <c r="AB487">
        <v>84.716437999999997</v>
      </c>
      <c r="AC487">
        <v>143.90502000000001</v>
      </c>
      <c r="AD487">
        <v>859.88400000000001</v>
      </c>
      <c r="AE487">
        <v>0.77004402999999999</v>
      </c>
      <c r="AF487">
        <v>1.0081112000000001</v>
      </c>
      <c r="AG487">
        <v>15.2376</v>
      </c>
      <c r="AH487">
        <v>5.8572141000000002</v>
      </c>
      <c r="AI487">
        <v>10.168238000000001</v>
      </c>
      <c r="AJ487">
        <v>16.103109</v>
      </c>
      <c r="AK487">
        <v>1.3190831999999999</v>
      </c>
      <c r="AL487">
        <v>0.18557797000000001</v>
      </c>
      <c r="AM487">
        <v>0</v>
      </c>
      <c r="AN487">
        <v>1.4638145</v>
      </c>
      <c r="AO487">
        <v>1569.4549</v>
      </c>
      <c r="AP487">
        <v>601.22838999999999</v>
      </c>
      <c r="AQ487">
        <v>25933.151000000002</v>
      </c>
      <c r="AR487">
        <v>39492.142</v>
      </c>
      <c r="AS487">
        <v>200.29302999999999</v>
      </c>
      <c r="AT487">
        <v>1318.4894999999999</v>
      </c>
      <c r="AU487">
        <v>227.12658999999999</v>
      </c>
      <c r="AV487">
        <v>68.971412000000001</v>
      </c>
      <c r="AW487">
        <v>490.3723</v>
      </c>
      <c r="AX487">
        <v>6174.5643</v>
      </c>
      <c r="AY487">
        <v>244.68333999999999</v>
      </c>
      <c r="AZ487">
        <v>149.33816999999999</v>
      </c>
      <c r="BA487">
        <v>257.29181999999997</v>
      </c>
      <c r="BB487">
        <v>431.83087</v>
      </c>
      <c r="BC487">
        <v>225.35578000000001</v>
      </c>
      <c r="BD487" s="169">
        <v>4808.1437999999998</v>
      </c>
      <c r="BE487">
        <v>1293.4344000000001</v>
      </c>
      <c r="BF487">
        <v>47.874743000000002</v>
      </c>
      <c r="BG487">
        <v>141.27296999999999</v>
      </c>
      <c r="BH487">
        <v>42.909481</v>
      </c>
      <c r="BI487">
        <v>36.767772000000001</v>
      </c>
      <c r="BJ487">
        <v>108.51730000000001</v>
      </c>
      <c r="BK487">
        <v>51.785378999999999</v>
      </c>
      <c r="BL487">
        <v>1582.0798</v>
      </c>
      <c r="BM487">
        <v>27.945501</v>
      </c>
      <c r="BN487">
        <v>55.054518999999999</v>
      </c>
      <c r="BO487">
        <v>275.85617000000002</v>
      </c>
      <c r="BP487">
        <v>190.08287000000001</v>
      </c>
      <c r="BQ487">
        <v>27.824679</v>
      </c>
      <c r="BR487">
        <v>18.330317999999998</v>
      </c>
      <c r="BS487">
        <v>13.299419</v>
      </c>
      <c r="BT487">
        <v>11.923622</v>
      </c>
      <c r="BU487">
        <v>59.826908000000003</v>
      </c>
      <c r="BV487">
        <v>10.335642</v>
      </c>
      <c r="BW487">
        <v>58.090699000000001</v>
      </c>
      <c r="BX487">
        <v>150.87725</v>
      </c>
      <c r="BY487">
        <v>58.090699000000001</v>
      </c>
      <c r="BZ487">
        <v>553.36863000000005</v>
      </c>
      <c r="CA487">
        <v>526.57668000000001</v>
      </c>
      <c r="CB487">
        <v>335.80525999999998</v>
      </c>
      <c r="CC487">
        <v>7.1498011000000004</v>
      </c>
      <c r="CD487">
        <v>1628.6239</v>
      </c>
      <c r="CE487">
        <v>474.60592000000003</v>
      </c>
      <c r="CF487">
        <v>524.75603999999998</v>
      </c>
      <c r="CG487">
        <v>347.51780000000002</v>
      </c>
      <c r="CH487">
        <v>58.158290999999998</v>
      </c>
      <c r="CI487">
        <v>58.930394</v>
      </c>
      <c r="CJ487">
        <v>101.81829999999999</v>
      </c>
      <c r="CK487">
        <v>8.7026869999999992</v>
      </c>
      <c r="CL487">
        <v>1.9589803999999999E-2</v>
      </c>
      <c r="CM487">
        <v>0.10851706999999999</v>
      </c>
      <c r="CN487">
        <v>5.8294840000000001E-2</v>
      </c>
      <c r="CO487">
        <v>6.6921994999999998E-2</v>
      </c>
      <c r="CP487">
        <v>8.3032489000000001E-2</v>
      </c>
      <c r="CQ487">
        <v>5.7517919000000001E-2</v>
      </c>
      <c r="CR487">
        <v>1.7980361</v>
      </c>
      <c r="CS487">
        <v>7.5782714000000002</v>
      </c>
      <c r="CT487">
        <v>281.59352000000001</v>
      </c>
      <c r="CU487">
        <v>41.931480000000001</v>
      </c>
      <c r="CV487">
        <v>165.61713</v>
      </c>
      <c r="CW487">
        <v>698.31295</v>
      </c>
    </row>
    <row r="488" spans="3:101">
      <c r="C488" t="s">
        <v>1161</v>
      </c>
      <c r="D488" t="s">
        <v>2</v>
      </c>
      <c r="E488">
        <v>1.0608624</v>
      </c>
      <c r="F488">
        <v>0.18134106</v>
      </c>
      <c r="G488">
        <v>3.5740229000000001</v>
      </c>
      <c r="H488">
        <v>7.5396726999999997E-2</v>
      </c>
      <c r="I488">
        <v>0.26874536999999998</v>
      </c>
      <c r="J488">
        <v>0.22231896000000001</v>
      </c>
      <c r="K488">
        <v>0.60563789999999995</v>
      </c>
      <c r="L488">
        <v>9.8097756999999994E-2</v>
      </c>
      <c r="M488">
        <v>0.37051823</v>
      </c>
      <c r="N488">
        <v>0.36706581999999999</v>
      </c>
      <c r="O488">
        <v>1.9174193E-3</v>
      </c>
      <c r="P488">
        <v>8.7873367000000004E-3</v>
      </c>
      <c r="Q488">
        <v>3.4433345999999997E-2</v>
      </c>
      <c r="R488">
        <v>3.5250503000000002E-2</v>
      </c>
      <c r="S488">
        <v>4.0294035999999998E-2</v>
      </c>
      <c r="T488">
        <v>4.0352187999999997E-2</v>
      </c>
      <c r="U488">
        <v>2.5477224999999999E-2</v>
      </c>
      <c r="V488">
        <v>2.2908082E-2</v>
      </c>
      <c r="W488">
        <v>0</v>
      </c>
      <c r="X488">
        <v>0.10631206999999999</v>
      </c>
      <c r="Y488">
        <v>6.3258430999999999E-3</v>
      </c>
      <c r="Z488">
        <v>1.0032119000000001E-2</v>
      </c>
      <c r="AA488">
        <v>3.7713670999999999E-3</v>
      </c>
      <c r="AB488">
        <v>4.7811927999999997E-2</v>
      </c>
      <c r="AC488">
        <v>5.8464641999999997E-2</v>
      </c>
      <c r="AD488">
        <v>0</v>
      </c>
      <c r="AE488">
        <v>1.1907744E-4</v>
      </c>
      <c r="AF488">
        <v>2.0243164E-4</v>
      </c>
      <c r="AG488">
        <v>0</v>
      </c>
      <c r="AH488">
        <v>4.1005018E-4</v>
      </c>
      <c r="AI488">
        <v>4.9073419000000005E-4</v>
      </c>
      <c r="AJ488">
        <v>3.6206821999999999E-4</v>
      </c>
      <c r="AK488">
        <v>2.2536586E-4</v>
      </c>
      <c r="AL488" s="4">
        <v>1.7566102E-5</v>
      </c>
      <c r="AM488">
        <v>0</v>
      </c>
      <c r="AN488">
        <v>3.7713670999999999E-3</v>
      </c>
      <c r="AO488">
        <v>0.54846806000000004</v>
      </c>
      <c r="AP488">
        <v>0.20817863</v>
      </c>
      <c r="AQ488">
        <v>5.0692006999999997</v>
      </c>
      <c r="AR488">
        <v>72.520359999999997</v>
      </c>
      <c r="AS488">
        <v>0.29738722000000001</v>
      </c>
      <c r="AT488">
        <v>0.48598585999999999</v>
      </c>
      <c r="AU488">
        <v>0.13105833</v>
      </c>
      <c r="AV488">
        <v>0.20238133</v>
      </c>
      <c r="AW488">
        <v>0.37150496</v>
      </c>
      <c r="AX488">
        <v>3.6838768000000002</v>
      </c>
      <c r="AY488">
        <v>0.11546068</v>
      </c>
      <c r="AZ488">
        <v>9.0879387000000006E-2</v>
      </c>
      <c r="BA488">
        <v>0.111016</v>
      </c>
      <c r="BB488">
        <v>0.24822886</v>
      </c>
      <c r="BC488">
        <v>0.13866870000000001</v>
      </c>
      <c r="BD488" s="169">
        <v>0.57113793999999996</v>
      </c>
      <c r="BE488">
        <v>0.41758160999999999</v>
      </c>
      <c r="BF488">
        <v>2.6961444000000001E-2</v>
      </c>
      <c r="BG488">
        <v>5.0080131999999999E-2</v>
      </c>
      <c r="BH488">
        <v>4.4788323999999996E-3</v>
      </c>
      <c r="BI488">
        <v>3.6379277999999998E-3</v>
      </c>
      <c r="BJ488">
        <v>6.4175519E-2</v>
      </c>
      <c r="BK488">
        <v>5.0338052000000001E-2</v>
      </c>
      <c r="BL488">
        <v>0.27832498999999999</v>
      </c>
      <c r="BM488">
        <v>5.3885297999999998E-3</v>
      </c>
      <c r="BN488">
        <v>2.5819149E-2</v>
      </c>
      <c r="BO488">
        <v>8.9042531999999994E-2</v>
      </c>
      <c r="BP488">
        <v>8.8511516999999998E-2</v>
      </c>
      <c r="BQ488">
        <v>5.8706803000000002E-3</v>
      </c>
      <c r="BR488">
        <v>4.8104819999999996E-3</v>
      </c>
      <c r="BS488">
        <v>1.7463044000000001E-3</v>
      </c>
      <c r="BT488">
        <v>1.3305932E-3</v>
      </c>
      <c r="BU488">
        <v>4.5767553000000002E-2</v>
      </c>
      <c r="BV488">
        <v>3.9081738000000003E-3</v>
      </c>
      <c r="BW488">
        <v>3.1676163E-2</v>
      </c>
      <c r="BX488">
        <v>7.6459161999999997E-2</v>
      </c>
      <c r="BY488">
        <v>3.1676163E-2</v>
      </c>
      <c r="BZ488">
        <v>0.19000354</v>
      </c>
      <c r="CA488">
        <v>0.1063089</v>
      </c>
      <c r="CB488">
        <v>7.7892350999999999E-2</v>
      </c>
      <c r="CC488">
        <v>4.1574981000000004E-3</v>
      </c>
      <c r="CD488">
        <v>0.62550039999999996</v>
      </c>
      <c r="CE488">
        <v>0.30916028000000001</v>
      </c>
      <c r="CF488">
        <v>0.81515157000000005</v>
      </c>
      <c r="CG488">
        <v>13.109628000000001</v>
      </c>
      <c r="CH488">
        <v>2.0585837999999999E-2</v>
      </c>
      <c r="CI488">
        <v>1.9772571999999999E-2</v>
      </c>
      <c r="CJ488">
        <v>3.5926449999999999E-2</v>
      </c>
      <c r="CK488">
        <v>0.55022302999999995</v>
      </c>
      <c r="CL488">
        <v>1.0135517000000001E-4</v>
      </c>
      <c r="CM488" s="4">
        <v>8.3945267999999996E-5</v>
      </c>
      <c r="CN488" s="4">
        <v>3.7362315000000001E-5</v>
      </c>
      <c r="CO488">
        <v>1.3951999000000001E-4</v>
      </c>
      <c r="CP488">
        <v>2.2768986999999999E-4</v>
      </c>
      <c r="CQ488">
        <v>1.3822534000000001E-4</v>
      </c>
      <c r="CR488">
        <v>4.3446387E-4</v>
      </c>
      <c r="CS488">
        <v>1.8311562000000001E-3</v>
      </c>
      <c r="CT488">
        <v>6.8042131000000006E-2</v>
      </c>
      <c r="CU488">
        <v>6.4160171999999996E-3</v>
      </c>
      <c r="CV488">
        <v>5.9462387999999998E-2</v>
      </c>
      <c r="CW488">
        <v>0.72578955999999994</v>
      </c>
    </row>
    <row r="489" spans="3:101">
      <c r="C489" t="s">
        <v>1162</v>
      </c>
      <c r="D489" t="s">
        <v>2</v>
      </c>
      <c r="E489">
        <v>2717.0275999999999</v>
      </c>
      <c r="F489">
        <v>475.87396999999999</v>
      </c>
      <c r="G489">
        <v>9596.3011000000006</v>
      </c>
      <c r="H489">
        <v>74.367852999999997</v>
      </c>
      <c r="I489">
        <v>24.842003999999999</v>
      </c>
      <c r="J489">
        <v>57.545690999999998</v>
      </c>
      <c r="K489">
        <v>96.096889000000004</v>
      </c>
      <c r="L489">
        <v>45.062258</v>
      </c>
      <c r="M489">
        <v>51.437829999999998</v>
      </c>
      <c r="N489">
        <v>106.11261</v>
      </c>
      <c r="O489">
        <v>3.1929186999999999</v>
      </c>
      <c r="P489">
        <v>7.1828455</v>
      </c>
      <c r="Q489">
        <v>31.948677</v>
      </c>
      <c r="R489">
        <v>47.063921000000001</v>
      </c>
      <c r="S489">
        <v>86.669936000000007</v>
      </c>
      <c r="T489">
        <v>18.275721999999998</v>
      </c>
      <c r="U489">
        <v>67.486971999999994</v>
      </c>
      <c r="V489">
        <v>25.652729000000001</v>
      </c>
      <c r="W489">
        <v>0</v>
      </c>
      <c r="X489">
        <v>32.199449999999999</v>
      </c>
      <c r="Y489">
        <v>50.886418999999997</v>
      </c>
      <c r="Z489">
        <v>28.987038999999999</v>
      </c>
      <c r="AA489">
        <v>0.64518089999999995</v>
      </c>
      <c r="AB489">
        <v>46.213648999999997</v>
      </c>
      <c r="AC489">
        <v>144.94341</v>
      </c>
      <c r="AD489">
        <v>4.4288399999999999E-2</v>
      </c>
      <c r="AE489">
        <v>0.10756838000000001</v>
      </c>
      <c r="AF489">
        <v>0.1828446</v>
      </c>
      <c r="AG489">
        <v>22.873898000000001</v>
      </c>
      <c r="AH489">
        <v>58.145480999999997</v>
      </c>
      <c r="AI489">
        <v>57.799447000000001</v>
      </c>
      <c r="AJ489">
        <v>57.602097999999998</v>
      </c>
      <c r="AK489">
        <v>56.994115999999998</v>
      </c>
      <c r="AL489">
        <v>54.832970000000003</v>
      </c>
      <c r="AM489">
        <v>39000</v>
      </c>
      <c r="AN489">
        <v>0.64518089999999995</v>
      </c>
      <c r="AO489">
        <v>1774.6948</v>
      </c>
      <c r="AP489">
        <v>677.98690999999997</v>
      </c>
      <c r="AQ489">
        <v>17298.281999999999</v>
      </c>
      <c r="AR489">
        <v>471900.75</v>
      </c>
      <c r="AS489">
        <v>167.34661</v>
      </c>
      <c r="AT489">
        <v>1108.7945</v>
      </c>
      <c r="AU489">
        <v>93.950064999999995</v>
      </c>
      <c r="AV489">
        <v>71.641851000000003</v>
      </c>
      <c r="AW489">
        <v>268.61333000000002</v>
      </c>
      <c r="AX489">
        <v>6486.9691999999995</v>
      </c>
      <c r="AY489">
        <v>115.39491</v>
      </c>
      <c r="AZ489">
        <v>91.385948999999997</v>
      </c>
      <c r="BA489">
        <v>123.82133</v>
      </c>
      <c r="BB489">
        <v>351.64893999999998</v>
      </c>
      <c r="BC489">
        <v>180.56347</v>
      </c>
      <c r="BD489" s="169">
        <v>2541.8775999999998</v>
      </c>
      <c r="BE489">
        <v>830.72383000000002</v>
      </c>
      <c r="BF489">
        <v>30.448402999999999</v>
      </c>
      <c r="BG489">
        <v>25.980816000000001</v>
      </c>
      <c r="BH489">
        <v>149.96351000000001</v>
      </c>
      <c r="BI489">
        <v>97.845275000000001</v>
      </c>
      <c r="BJ489">
        <v>409.10606000000001</v>
      </c>
      <c r="BK489">
        <v>62.387447000000002</v>
      </c>
      <c r="BL489">
        <v>589.55210999999997</v>
      </c>
      <c r="BM489">
        <v>39.481313999999998</v>
      </c>
      <c r="BN489">
        <v>38.871153999999997</v>
      </c>
      <c r="BO489">
        <v>177.24979999999999</v>
      </c>
      <c r="BP489">
        <v>139.93415999999999</v>
      </c>
      <c r="BQ489">
        <v>25.565611000000001</v>
      </c>
      <c r="BR489">
        <v>89.027499000000006</v>
      </c>
      <c r="BS489">
        <v>51.463813000000002</v>
      </c>
      <c r="BT489">
        <v>46.045929000000001</v>
      </c>
      <c r="BU489">
        <v>20.269316</v>
      </c>
      <c r="BV489">
        <v>6.8138408999999998</v>
      </c>
      <c r="BW489">
        <v>21.253164000000002</v>
      </c>
      <c r="BX489">
        <v>36.802881999999997</v>
      </c>
      <c r="BY489">
        <v>21.253164000000002</v>
      </c>
      <c r="BZ489">
        <v>347.89391999999998</v>
      </c>
      <c r="CA489">
        <v>499.95668000000001</v>
      </c>
      <c r="CB489">
        <v>417.70245999999997</v>
      </c>
      <c r="CC489">
        <v>5.5667869999999997</v>
      </c>
      <c r="CD489">
        <v>872.05079999999998</v>
      </c>
      <c r="CE489">
        <v>179.49279000000001</v>
      </c>
      <c r="CF489">
        <v>160.18481</v>
      </c>
      <c r="CG489">
        <v>154.39929000000001</v>
      </c>
      <c r="CH489">
        <v>7.0187711999999998</v>
      </c>
      <c r="CI489">
        <v>8.9551035999999993</v>
      </c>
      <c r="CJ489">
        <v>15.9282</v>
      </c>
      <c r="CK489">
        <v>5.8024617000000003</v>
      </c>
      <c r="CL489">
        <v>1.0718605000000001E-2</v>
      </c>
      <c r="CM489">
        <v>2.2982486999999999E-2</v>
      </c>
      <c r="CN489">
        <v>1.83012E-2</v>
      </c>
      <c r="CO489">
        <v>2.0692038999999999E-2</v>
      </c>
      <c r="CP489">
        <v>3.7439186999999999E-2</v>
      </c>
      <c r="CQ489">
        <v>4.1195080000000002E-2</v>
      </c>
      <c r="CR489">
        <v>2.3892237999999999</v>
      </c>
      <c r="CS489">
        <v>10.069979</v>
      </c>
      <c r="CT489">
        <v>374.18043</v>
      </c>
      <c r="CU489">
        <v>27.373225999999999</v>
      </c>
      <c r="CV489">
        <v>23.860973000000001</v>
      </c>
      <c r="CW489">
        <v>258.11439000000001</v>
      </c>
    </row>
    <row r="490" spans="3:101">
      <c r="C490" t="s">
        <v>1163</v>
      </c>
      <c r="D490" t="s">
        <v>2</v>
      </c>
      <c r="E490">
        <v>1164.0734</v>
      </c>
      <c r="F490">
        <v>279.85003</v>
      </c>
      <c r="G490">
        <v>8762.4192999999996</v>
      </c>
      <c r="H490">
        <v>34.938526000000003</v>
      </c>
      <c r="I490">
        <v>3.5144750999999999</v>
      </c>
      <c r="J490">
        <v>9.0337150000000008</v>
      </c>
      <c r="K490">
        <v>8.8124155000000002</v>
      </c>
      <c r="L490">
        <v>10.964941</v>
      </c>
      <c r="M490">
        <v>7.0865850000000004</v>
      </c>
      <c r="N490">
        <v>6.6880360000000003</v>
      </c>
      <c r="O490">
        <v>0.98249352999999995</v>
      </c>
      <c r="P490">
        <v>1.6926321</v>
      </c>
      <c r="Q490">
        <v>1.6846809</v>
      </c>
      <c r="R490">
        <v>1.1386480999999999</v>
      </c>
      <c r="S490">
        <v>8.6742124</v>
      </c>
      <c r="T490">
        <v>2.4371660999999998</v>
      </c>
      <c r="U490">
        <v>3.5072225000000001</v>
      </c>
      <c r="V490">
        <v>2.9355783</v>
      </c>
      <c r="W490">
        <v>0</v>
      </c>
      <c r="X490">
        <v>46.373806000000002</v>
      </c>
      <c r="Y490">
        <v>12.061189000000001</v>
      </c>
      <c r="Z490">
        <v>12.771896</v>
      </c>
      <c r="AA490">
        <v>0.21385802000000001</v>
      </c>
      <c r="AB490">
        <v>4.2934805000000003</v>
      </c>
      <c r="AC490">
        <v>17.626344</v>
      </c>
      <c r="AD490">
        <v>0</v>
      </c>
      <c r="AE490">
        <v>5.5761234E-2</v>
      </c>
      <c r="AF490">
        <v>9.4794093999999995E-2</v>
      </c>
      <c r="AG490">
        <v>0</v>
      </c>
      <c r="AH490">
        <v>0.20629009000000001</v>
      </c>
      <c r="AI490">
        <v>0.23452232000000001</v>
      </c>
      <c r="AJ490">
        <v>0.18264786</v>
      </c>
      <c r="AK490">
        <v>0.22226931</v>
      </c>
      <c r="AL490">
        <v>1.26162</v>
      </c>
      <c r="AM490">
        <v>0</v>
      </c>
      <c r="AN490">
        <v>0.21385802000000001</v>
      </c>
      <c r="AO490">
        <v>206.3184</v>
      </c>
      <c r="AP490">
        <v>71.427060999999995</v>
      </c>
      <c r="AQ490">
        <v>8314.4181000000008</v>
      </c>
      <c r="AR490">
        <v>323502.02</v>
      </c>
      <c r="AS490">
        <v>39.246022000000004</v>
      </c>
      <c r="AT490">
        <v>89.746069000000006</v>
      </c>
      <c r="AU490">
        <v>54.417178999999997</v>
      </c>
      <c r="AV490">
        <v>5.9407440999999999</v>
      </c>
      <c r="AW490">
        <v>16.496597999999999</v>
      </c>
      <c r="AX490">
        <v>258.19139000000001</v>
      </c>
      <c r="AY490">
        <v>6.6519703999999997</v>
      </c>
      <c r="AZ490">
        <v>6.1540888999999996</v>
      </c>
      <c r="BA490">
        <v>9.4969339000000002</v>
      </c>
      <c r="BB490">
        <v>15.298491</v>
      </c>
      <c r="BC490">
        <v>8.1676295000000003</v>
      </c>
      <c r="BD490" s="169">
        <v>307.90100999999999</v>
      </c>
      <c r="BE490">
        <v>28.734234000000001</v>
      </c>
      <c r="BF490">
        <v>1.1786591</v>
      </c>
      <c r="BG490">
        <v>3.1412176999999999</v>
      </c>
      <c r="BH490">
        <v>1.132307</v>
      </c>
      <c r="BI490">
        <v>1.0956298</v>
      </c>
      <c r="BJ490">
        <v>6.0302319000000004</v>
      </c>
      <c r="BK490">
        <v>2.8671272999999999</v>
      </c>
      <c r="BL490">
        <v>33.334899</v>
      </c>
      <c r="BM490">
        <v>0.98471127999999997</v>
      </c>
      <c r="BN490">
        <v>1.6978711</v>
      </c>
      <c r="BO490">
        <v>6.1272720999999999</v>
      </c>
      <c r="BP490">
        <v>5.0112920000000001</v>
      </c>
      <c r="BQ490">
        <v>0.62695255000000005</v>
      </c>
      <c r="BR490">
        <v>1.0140506</v>
      </c>
      <c r="BS490">
        <v>0.47735018000000001</v>
      </c>
      <c r="BT490">
        <v>0.42194599999999999</v>
      </c>
      <c r="BU490">
        <v>2.2090812999999998</v>
      </c>
      <c r="BV490">
        <v>0.27627779000000002</v>
      </c>
      <c r="BW490">
        <v>1.9793132</v>
      </c>
      <c r="BX490">
        <v>3.9691952000000001</v>
      </c>
      <c r="BY490">
        <v>1.9793132</v>
      </c>
      <c r="BZ490">
        <v>12.833341000000001</v>
      </c>
      <c r="CA490">
        <v>67.205476000000004</v>
      </c>
      <c r="CB490">
        <v>63.887515999999998</v>
      </c>
      <c r="CC490">
        <v>0.21836051000000001</v>
      </c>
      <c r="CD490">
        <v>48.632314000000001</v>
      </c>
      <c r="CE490">
        <v>17.865475</v>
      </c>
      <c r="CF490">
        <v>17.923674999999999</v>
      </c>
      <c r="CG490">
        <v>23.380075000000001</v>
      </c>
      <c r="CH490">
        <v>0.54309068999999999</v>
      </c>
      <c r="CI490">
        <v>1.1942113999999999</v>
      </c>
      <c r="CJ490">
        <v>1.0350127</v>
      </c>
      <c r="CK490">
        <v>2.2482988000000002</v>
      </c>
      <c r="CL490">
        <v>2.1304912000000001E-3</v>
      </c>
      <c r="CM490">
        <v>4.2002061999999998E-3</v>
      </c>
      <c r="CN490">
        <v>4.9244158E-3</v>
      </c>
      <c r="CO490">
        <v>3.4700324000000002E-3</v>
      </c>
      <c r="CP490">
        <v>4.1172188999999996E-3</v>
      </c>
      <c r="CQ490">
        <v>3.3205766000000002E-3</v>
      </c>
      <c r="CR490">
        <v>4.7029996999999997E-2</v>
      </c>
      <c r="CS490">
        <v>0.19821964</v>
      </c>
      <c r="CT490">
        <v>7.3654485000000003</v>
      </c>
      <c r="CU490">
        <v>8.0993101000000003</v>
      </c>
      <c r="CV490">
        <v>1.6134876</v>
      </c>
      <c r="CW490">
        <v>197.19287</v>
      </c>
    </row>
    <row r="491" spans="3:101">
      <c r="C491" t="s">
        <v>1164</v>
      </c>
      <c r="D491" t="s">
        <v>2</v>
      </c>
      <c r="E491">
        <v>1904.9108000000001</v>
      </c>
      <c r="F491">
        <v>187.62472</v>
      </c>
      <c r="G491">
        <v>13774.52</v>
      </c>
      <c r="H491">
        <v>37.485624000000001</v>
      </c>
      <c r="I491">
        <v>9.0035837000000001</v>
      </c>
      <c r="J491">
        <v>14.105831999999999</v>
      </c>
      <c r="K491">
        <v>16.670556999999999</v>
      </c>
      <c r="L491">
        <v>15.229576</v>
      </c>
      <c r="M491">
        <v>12.626301</v>
      </c>
      <c r="N491">
        <v>14.095840000000001</v>
      </c>
      <c r="O491">
        <v>5.9227211000000004</v>
      </c>
      <c r="P491">
        <v>7.8267430999999998</v>
      </c>
      <c r="Q491">
        <v>2.0932632999999998</v>
      </c>
      <c r="R491">
        <v>1.2959164999999999</v>
      </c>
      <c r="S491">
        <v>7.2070297999999999</v>
      </c>
      <c r="T491">
        <v>1.2734278999999999</v>
      </c>
      <c r="U491">
        <v>6.1709487000000003</v>
      </c>
      <c r="V491">
        <v>5.2541273999999998</v>
      </c>
      <c r="W491">
        <v>0</v>
      </c>
      <c r="X491">
        <v>4.6203396000000003</v>
      </c>
      <c r="Y491">
        <v>10.444578999999999</v>
      </c>
      <c r="Z491">
        <v>11.642910000000001</v>
      </c>
      <c r="AA491">
        <v>0.23190278</v>
      </c>
      <c r="AB491">
        <v>20.626808</v>
      </c>
      <c r="AC491">
        <v>19.680289999999999</v>
      </c>
      <c r="AD491">
        <v>0</v>
      </c>
      <c r="AE491">
        <v>5.8094812000000003E-2</v>
      </c>
      <c r="AF491">
        <v>9.8761163999999999E-2</v>
      </c>
      <c r="AG491">
        <v>6.3</v>
      </c>
      <c r="AH491">
        <v>0.40718884999999999</v>
      </c>
      <c r="AI491">
        <v>0.39873702999999999</v>
      </c>
      <c r="AJ491">
        <v>0.35512153000000002</v>
      </c>
      <c r="AK491">
        <v>0.55134881000000002</v>
      </c>
      <c r="AL491">
        <v>5.9250148000000002E-2</v>
      </c>
      <c r="AM491">
        <v>0</v>
      </c>
      <c r="AN491">
        <v>0.23190278</v>
      </c>
      <c r="AO491">
        <v>224.66305</v>
      </c>
      <c r="AP491">
        <v>88.275706999999997</v>
      </c>
      <c r="AQ491">
        <v>6196.7515999999996</v>
      </c>
      <c r="AR491">
        <v>141679.51</v>
      </c>
      <c r="AS491">
        <v>48.338836000000001</v>
      </c>
      <c r="AT491">
        <v>126.5857</v>
      </c>
      <c r="AU491">
        <v>40.006408</v>
      </c>
      <c r="AV491">
        <v>7.6540647999999996</v>
      </c>
      <c r="AW491">
        <v>38.495252000000001</v>
      </c>
      <c r="AX491">
        <v>586.31877999999995</v>
      </c>
      <c r="AY491">
        <v>12.216998</v>
      </c>
      <c r="AZ491">
        <v>10.264729000000001</v>
      </c>
      <c r="BA491">
        <v>25.349927999999998</v>
      </c>
      <c r="BB491">
        <v>33.615696999999997</v>
      </c>
      <c r="BC491">
        <v>18.401176</v>
      </c>
      <c r="BD491" s="169">
        <v>44.341932</v>
      </c>
      <c r="BE491">
        <v>104.9538</v>
      </c>
      <c r="BF491">
        <v>2.5967492999999999</v>
      </c>
      <c r="BG491">
        <v>2.2100590000000002</v>
      </c>
      <c r="BH491">
        <v>1.7360589</v>
      </c>
      <c r="BI491">
        <v>1.3511184000000001</v>
      </c>
      <c r="BJ491">
        <v>24.054252999999999</v>
      </c>
      <c r="BK491">
        <v>5.2102501999999999</v>
      </c>
      <c r="BL491">
        <v>83.185704000000001</v>
      </c>
      <c r="BM491">
        <v>1.8602993999999999</v>
      </c>
      <c r="BN491">
        <v>2.6650429</v>
      </c>
      <c r="BO491">
        <v>22.392302999999998</v>
      </c>
      <c r="BP491">
        <v>10.401721</v>
      </c>
      <c r="BQ491">
        <v>1.1515458000000001</v>
      </c>
      <c r="BR491">
        <v>1.2523635</v>
      </c>
      <c r="BS491">
        <v>0.63865558</v>
      </c>
      <c r="BT491">
        <v>0.57743571999999999</v>
      </c>
      <c r="BU491">
        <v>3.2249032</v>
      </c>
      <c r="BV491">
        <v>0.51725105999999998</v>
      </c>
      <c r="BW491">
        <v>3.0984191000000001</v>
      </c>
      <c r="BX491">
        <v>8.1271758999999992</v>
      </c>
      <c r="BY491">
        <v>3.0984191000000001</v>
      </c>
      <c r="BZ491">
        <v>44.456595999999998</v>
      </c>
      <c r="CA491">
        <v>10.761623</v>
      </c>
      <c r="CB491">
        <v>25.495567999999999</v>
      </c>
      <c r="CC491">
        <v>0.38886523000000001</v>
      </c>
      <c r="CD491">
        <v>306.68092999999999</v>
      </c>
      <c r="CE491">
        <v>188.83776</v>
      </c>
      <c r="CF491">
        <v>48.838078000000003</v>
      </c>
      <c r="CG491">
        <v>239.59342000000001</v>
      </c>
      <c r="CH491">
        <v>0.49499366</v>
      </c>
      <c r="CI491">
        <v>0.62397968999999998</v>
      </c>
      <c r="CJ491">
        <v>1.0477312999999999</v>
      </c>
      <c r="CK491">
        <v>28.009582000000002</v>
      </c>
      <c r="CL491">
        <v>3.9686197000000003E-3</v>
      </c>
      <c r="CM491">
        <v>5.8819628000000004E-3</v>
      </c>
      <c r="CN491">
        <v>6.3033669000000002E-3</v>
      </c>
      <c r="CO491">
        <v>5.3271385999999997E-3</v>
      </c>
      <c r="CP491">
        <v>6.8437347000000004E-3</v>
      </c>
      <c r="CQ491">
        <v>5.8782158999999999E-3</v>
      </c>
      <c r="CR491">
        <v>4.7897017E-2</v>
      </c>
      <c r="CS491">
        <v>0.20187392000000001</v>
      </c>
      <c r="CT491">
        <v>7.5012340000000002</v>
      </c>
      <c r="CU491">
        <v>4.6449752000000002</v>
      </c>
      <c r="CV491">
        <v>1.5420517</v>
      </c>
      <c r="CW491">
        <v>90.310170999999997</v>
      </c>
    </row>
    <row r="492" spans="3:101">
      <c r="C492" t="s">
        <v>1165</v>
      </c>
      <c r="D492" t="s">
        <v>2</v>
      </c>
      <c r="E492">
        <v>91.308880000000002</v>
      </c>
      <c r="F492">
        <v>14.245132999999999</v>
      </c>
      <c r="G492">
        <v>334.92739999999998</v>
      </c>
      <c r="H492">
        <v>2.3008079000000001</v>
      </c>
      <c r="I492">
        <v>1.1061904</v>
      </c>
      <c r="J492">
        <v>1.6133465</v>
      </c>
      <c r="K492">
        <v>1.8426393000000001</v>
      </c>
      <c r="L492">
        <v>1.7863313000000001</v>
      </c>
      <c r="M492">
        <v>8.0539178000000007</v>
      </c>
      <c r="N492">
        <v>3.049944</v>
      </c>
      <c r="O492">
        <v>0.14514446</v>
      </c>
      <c r="P492">
        <v>0.46019575000000001</v>
      </c>
      <c r="Q492">
        <v>4.8707029999999998</v>
      </c>
      <c r="R492">
        <v>5.4479401000000003</v>
      </c>
      <c r="S492">
        <v>6.0858911000000004</v>
      </c>
      <c r="T492">
        <v>1.0064101000000001</v>
      </c>
      <c r="U492">
        <v>42.566803999999998</v>
      </c>
      <c r="V492">
        <v>0.35417043999999998</v>
      </c>
      <c r="W492">
        <v>0</v>
      </c>
      <c r="X492">
        <v>179.78559999999999</v>
      </c>
      <c r="Y492">
        <v>0.63096635000000001</v>
      </c>
      <c r="Z492">
        <v>2.1587556000000001</v>
      </c>
      <c r="AA492">
        <v>1.6035609999999999E-2</v>
      </c>
      <c r="AB492">
        <v>6.9942921</v>
      </c>
      <c r="AC492">
        <v>4.9740520000000004</v>
      </c>
      <c r="AD492">
        <v>0</v>
      </c>
      <c r="AE492">
        <v>5.5141597999999997E-3</v>
      </c>
      <c r="AF492">
        <v>9.3740709999999994E-3</v>
      </c>
      <c r="AG492">
        <v>0</v>
      </c>
      <c r="AH492">
        <v>4.8728881000000002E-2</v>
      </c>
      <c r="AI492">
        <v>5.2245138000000003E-2</v>
      </c>
      <c r="AJ492">
        <v>4.4429279000000002E-2</v>
      </c>
      <c r="AK492">
        <v>1.4702504999999999E-2</v>
      </c>
      <c r="AL492">
        <v>7.7960903E-4</v>
      </c>
      <c r="AM492">
        <v>0</v>
      </c>
      <c r="AN492">
        <v>1.6035609999999999E-2</v>
      </c>
      <c r="AO492">
        <v>49.620156999999999</v>
      </c>
      <c r="AP492">
        <v>19.8156</v>
      </c>
      <c r="AQ492">
        <v>3412.3971999999999</v>
      </c>
      <c r="AR492">
        <v>602178.44999999995</v>
      </c>
      <c r="AS492">
        <v>2156.308</v>
      </c>
      <c r="AT492">
        <v>24744.172999999999</v>
      </c>
      <c r="AU492">
        <v>1356.7322999999999</v>
      </c>
      <c r="AV492">
        <v>82.755989</v>
      </c>
      <c r="AW492">
        <v>1333.0174999999999</v>
      </c>
      <c r="AX492">
        <v>5912.9493000000002</v>
      </c>
      <c r="AY492">
        <v>169.33353</v>
      </c>
      <c r="AZ492">
        <v>485.25637999999998</v>
      </c>
      <c r="BA492">
        <v>251.82835</v>
      </c>
      <c r="BB492">
        <v>295.55302999999998</v>
      </c>
      <c r="BC492">
        <v>149.98023000000001</v>
      </c>
      <c r="BD492" s="169">
        <v>2922.8933999999999</v>
      </c>
      <c r="BE492">
        <v>2601.4124000000002</v>
      </c>
      <c r="BF492">
        <v>195.58097000000001</v>
      </c>
      <c r="BG492">
        <v>20.006418</v>
      </c>
      <c r="BH492">
        <v>43.979000999999997</v>
      </c>
      <c r="BI492">
        <v>38.512506999999999</v>
      </c>
      <c r="BJ492">
        <v>60.565176999999998</v>
      </c>
      <c r="BK492">
        <v>327.82299999999998</v>
      </c>
      <c r="BL492">
        <v>1808.8972000000001</v>
      </c>
      <c r="BM492">
        <v>125.48384</v>
      </c>
      <c r="BN492">
        <v>147.81237999999999</v>
      </c>
      <c r="BO492">
        <v>555.35053000000005</v>
      </c>
      <c r="BP492">
        <v>1204.6225999999999</v>
      </c>
      <c r="BQ492">
        <v>114.46331000000001</v>
      </c>
      <c r="BR492">
        <v>91.494825000000006</v>
      </c>
      <c r="BS492">
        <v>23.648161000000002</v>
      </c>
      <c r="BT492">
        <v>9.0060675999999997</v>
      </c>
      <c r="BU492">
        <v>27.083262000000001</v>
      </c>
      <c r="BV492">
        <v>25.467148999999999</v>
      </c>
      <c r="BW492">
        <v>17.928815</v>
      </c>
      <c r="BX492">
        <v>15.214971</v>
      </c>
      <c r="BY492">
        <v>17.928815</v>
      </c>
      <c r="BZ492">
        <v>1042.1331</v>
      </c>
      <c r="CA492">
        <v>1039.6438000000001</v>
      </c>
      <c r="CB492">
        <v>248.50395</v>
      </c>
      <c r="CC492">
        <v>21.490518000000002</v>
      </c>
      <c r="CD492">
        <v>51.501373000000001</v>
      </c>
      <c r="CE492">
        <v>12.494134000000001</v>
      </c>
      <c r="CF492">
        <v>19.360802</v>
      </c>
      <c r="CG492">
        <v>10.07991</v>
      </c>
      <c r="CH492">
        <v>0.46797633</v>
      </c>
      <c r="CI492">
        <v>0.49314094000000003</v>
      </c>
      <c r="CJ492">
        <v>0.81896228000000004</v>
      </c>
      <c r="CK492">
        <v>0.20323508000000001</v>
      </c>
      <c r="CL492">
        <v>4.6336944999999998E-4</v>
      </c>
      <c r="CM492">
        <v>6.5355296000000002E-4</v>
      </c>
      <c r="CN492">
        <v>7.1842227999999999E-4</v>
      </c>
      <c r="CO492">
        <v>3.0687672000000001E-3</v>
      </c>
      <c r="CP492">
        <v>7.3953777999999999E-4</v>
      </c>
      <c r="CQ492">
        <v>1.1922770000000001E-3</v>
      </c>
      <c r="CR492">
        <v>1.3541662999999999</v>
      </c>
      <c r="CS492">
        <v>5.7074712999999999</v>
      </c>
      <c r="CT492">
        <v>212.07830000000001</v>
      </c>
      <c r="CU492">
        <v>4.0759438000000001</v>
      </c>
      <c r="CV492">
        <v>1.3760477</v>
      </c>
      <c r="CW492">
        <v>1381.0591999999999</v>
      </c>
    </row>
    <row r="493" spans="3:101">
      <c r="C493" t="s">
        <v>1166</v>
      </c>
      <c r="D493" t="s">
        <v>2</v>
      </c>
      <c r="E493">
        <v>61.198728000000003</v>
      </c>
      <c r="F493">
        <v>12.131561</v>
      </c>
      <c r="G493">
        <v>186.45635999999999</v>
      </c>
      <c r="H493">
        <v>1.4639025999999999</v>
      </c>
      <c r="I493">
        <v>0.22789085000000001</v>
      </c>
      <c r="J493">
        <v>0.48520496000000002</v>
      </c>
      <c r="K493">
        <v>0.48760094999999998</v>
      </c>
      <c r="L493">
        <v>0.56738248000000002</v>
      </c>
      <c r="M493">
        <v>0.44898222999999998</v>
      </c>
      <c r="N493">
        <v>1.3955074000000001</v>
      </c>
      <c r="O493">
        <v>5.0388461000000002E-2</v>
      </c>
      <c r="P493">
        <v>8.2356574000000002E-2</v>
      </c>
      <c r="Q493">
        <v>7.8833890999999996</v>
      </c>
      <c r="R493">
        <v>7.3611757000000004</v>
      </c>
      <c r="S493">
        <v>7.6432352000000003</v>
      </c>
      <c r="T493">
        <v>8.3363876000000003E-2</v>
      </c>
      <c r="U493">
        <v>0.48091393999999998</v>
      </c>
      <c r="V493">
        <v>0.21782982000000001</v>
      </c>
      <c r="W493">
        <v>0</v>
      </c>
      <c r="X493">
        <v>0.40059791</v>
      </c>
      <c r="Y493">
        <v>0.23911658999999999</v>
      </c>
      <c r="Z493">
        <v>0.25903924</v>
      </c>
      <c r="AA493">
        <v>5.8956779000000001E-3</v>
      </c>
      <c r="AB493">
        <v>4.0344259999999998</v>
      </c>
      <c r="AC493">
        <v>4.8859928000000004</v>
      </c>
      <c r="AD493">
        <v>0</v>
      </c>
      <c r="AE493">
        <v>2.3830671E-3</v>
      </c>
      <c r="AF493">
        <v>4.051214E-3</v>
      </c>
      <c r="AG493">
        <v>0</v>
      </c>
      <c r="AH493">
        <v>3.5044176000000003E-2</v>
      </c>
      <c r="AI493">
        <v>4.1293644999999997E-2</v>
      </c>
      <c r="AJ493">
        <v>3.2828290000000003E-2</v>
      </c>
      <c r="AK493">
        <v>6.4406725000000003E-3</v>
      </c>
      <c r="AL493">
        <v>3.9570551999999998E-4</v>
      </c>
      <c r="AM493">
        <v>0</v>
      </c>
      <c r="AN493">
        <v>5.8956779000000001E-3</v>
      </c>
      <c r="AO493">
        <v>57.098193000000002</v>
      </c>
      <c r="AP493">
        <v>22.842495</v>
      </c>
      <c r="AQ493">
        <v>207.31723</v>
      </c>
      <c r="AR493">
        <v>380.86660000000001</v>
      </c>
      <c r="AS493">
        <v>1.5373239999999999</v>
      </c>
      <c r="AT493">
        <v>3.5152510000000001</v>
      </c>
      <c r="AU493">
        <v>1.5943168999999999</v>
      </c>
      <c r="AV493">
        <v>2.9793254</v>
      </c>
      <c r="AW493">
        <v>8.6361199000000006</v>
      </c>
      <c r="AX493">
        <v>46.275136000000003</v>
      </c>
      <c r="AY493">
        <v>2.5128932000000002</v>
      </c>
      <c r="AZ493">
        <v>2.0905130999999999</v>
      </c>
      <c r="BA493">
        <v>2.0142604999999998</v>
      </c>
      <c r="BB493">
        <v>2.7789974000000002</v>
      </c>
      <c r="BC493">
        <v>1.7049612999999999</v>
      </c>
      <c r="BD493" s="169">
        <v>10.2912</v>
      </c>
      <c r="BE493">
        <v>16.849053999999999</v>
      </c>
      <c r="BF493">
        <v>0.63838362999999998</v>
      </c>
      <c r="BG493">
        <v>0.16528723000000001</v>
      </c>
      <c r="BH493">
        <v>0.44219794000000001</v>
      </c>
      <c r="BI493">
        <v>0.40103368</v>
      </c>
      <c r="BJ493">
        <v>1.342204</v>
      </c>
      <c r="BK493">
        <v>1.1163844000000001</v>
      </c>
      <c r="BL493">
        <v>21.430439</v>
      </c>
      <c r="BM493">
        <v>0.42506442</v>
      </c>
      <c r="BN493">
        <v>0.53917881999999995</v>
      </c>
      <c r="BO493">
        <v>3.5960415000000001</v>
      </c>
      <c r="BP493">
        <v>2.7724183999999998</v>
      </c>
      <c r="BQ493">
        <v>0.33074146999999998</v>
      </c>
      <c r="BR493">
        <v>0.36371319000000002</v>
      </c>
      <c r="BS493">
        <v>0.14990352000000001</v>
      </c>
      <c r="BT493">
        <v>0.13657822999999999</v>
      </c>
      <c r="BU493">
        <v>0.67785278999999998</v>
      </c>
      <c r="BV493">
        <v>0.10856692</v>
      </c>
      <c r="BW493">
        <v>0.44327585000000003</v>
      </c>
      <c r="BX493">
        <v>0.50398812999999998</v>
      </c>
      <c r="BY493">
        <v>0.44327585000000003</v>
      </c>
      <c r="BZ493">
        <v>6.9541434000000004</v>
      </c>
      <c r="CA493">
        <v>3.1443542</v>
      </c>
      <c r="CB493">
        <v>2.6484800000000002</v>
      </c>
      <c r="CC493">
        <v>7.5789272000000005E-2</v>
      </c>
      <c r="CD493">
        <v>24.430530000000001</v>
      </c>
      <c r="CE493">
        <v>2.5552655</v>
      </c>
      <c r="CF493">
        <v>3.9556789000000001</v>
      </c>
      <c r="CG493">
        <v>2.5184886999999998</v>
      </c>
      <c r="CH493">
        <v>3.4202286999999998E-2</v>
      </c>
      <c r="CI493">
        <v>4.0848298999999998E-2</v>
      </c>
      <c r="CJ493">
        <v>6.4523667000000007E-2</v>
      </c>
      <c r="CK493">
        <v>5.8734427999999998E-2</v>
      </c>
      <c r="CL493">
        <v>1.2442820000000001E-4</v>
      </c>
      <c r="CM493">
        <v>2.2092098999999999E-4</v>
      </c>
      <c r="CN493">
        <v>2.5173756000000002E-4</v>
      </c>
      <c r="CO493">
        <v>2.0733747E-4</v>
      </c>
      <c r="CP493">
        <v>2.2181948999999999E-4</v>
      </c>
      <c r="CQ493">
        <v>5.6228438999999999E-4</v>
      </c>
      <c r="CR493">
        <v>2.4811026E-2</v>
      </c>
      <c r="CS493">
        <v>0.10457225000000001</v>
      </c>
      <c r="CT493">
        <v>3.8856972999999999</v>
      </c>
      <c r="CU493">
        <v>0.18836094</v>
      </c>
      <c r="CV493">
        <v>0.17377432000000001</v>
      </c>
      <c r="CW493">
        <v>3.2546624999999998</v>
      </c>
    </row>
    <row r="494" spans="3:101">
      <c r="C494" t="s">
        <v>1167</v>
      </c>
      <c r="D494" t="s">
        <v>2</v>
      </c>
      <c r="E494">
        <v>920.53152</v>
      </c>
      <c r="F494">
        <v>223.35839000000001</v>
      </c>
      <c r="G494">
        <v>8504.3989000000001</v>
      </c>
      <c r="H494">
        <v>47.397157999999997</v>
      </c>
      <c r="I494">
        <v>2.644781</v>
      </c>
      <c r="J494">
        <v>5.2239076000000004</v>
      </c>
      <c r="K494">
        <v>4.9573198999999999</v>
      </c>
      <c r="L494">
        <v>4.4593011000000002</v>
      </c>
      <c r="M494">
        <v>19.134277999999998</v>
      </c>
      <c r="N494">
        <v>7.5784435999999999</v>
      </c>
      <c r="O494">
        <v>1.0036759</v>
      </c>
      <c r="P494">
        <v>2.7186309</v>
      </c>
      <c r="Q494">
        <v>9.0009178999999992</v>
      </c>
      <c r="R494">
        <v>8.7903582999999994</v>
      </c>
      <c r="S494">
        <v>16.751114999999999</v>
      </c>
      <c r="T494">
        <v>2.3117855</v>
      </c>
      <c r="U494">
        <v>4.6104314999999998</v>
      </c>
      <c r="V494">
        <v>2.0010683999999999</v>
      </c>
      <c r="W494">
        <v>0</v>
      </c>
      <c r="X494">
        <v>21.789396</v>
      </c>
      <c r="Y494">
        <v>0.68208157999999997</v>
      </c>
      <c r="Z494">
        <v>1.1257672999999999</v>
      </c>
      <c r="AA494">
        <v>0.28001730000000002</v>
      </c>
      <c r="AB494">
        <v>9.3864389999999993</v>
      </c>
      <c r="AC494">
        <v>16.309868000000002</v>
      </c>
      <c r="AD494">
        <v>0</v>
      </c>
      <c r="AE494">
        <v>8.0468047000000001E-2</v>
      </c>
      <c r="AF494">
        <v>0.13679567000000001</v>
      </c>
      <c r="AG494">
        <v>0</v>
      </c>
      <c r="AH494">
        <v>0.77204558999999995</v>
      </c>
      <c r="AI494">
        <v>0.30861390999999999</v>
      </c>
      <c r="AJ494">
        <v>0.23607624999999999</v>
      </c>
      <c r="AK494">
        <v>0.29095170999999997</v>
      </c>
      <c r="AL494">
        <v>4.5206835000000001E-2</v>
      </c>
      <c r="AM494">
        <v>0</v>
      </c>
      <c r="AN494">
        <v>0.28001730000000002</v>
      </c>
      <c r="AO494">
        <v>157.56003999999999</v>
      </c>
      <c r="AP494">
        <v>58.416637999999999</v>
      </c>
      <c r="AQ494">
        <v>17146.834999999999</v>
      </c>
      <c r="AR494">
        <v>10423.768</v>
      </c>
      <c r="AS494">
        <v>590.09267</v>
      </c>
      <c r="AT494">
        <v>55.866922000000002</v>
      </c>
      <c r="AU494">
        <v>31.216906000000002</v>
      </c>
      <c r="AV494">
        <v>11.257011</v>
      </c>
      <c r="AW494">
        <v>109.55768999999999</v>
      </c>
      <c r="AX494">
        <v>1065.8824999999999</v>
      </c>
      <c r="AY494">
        <v>26.415172999999999</v>
      </c>
      <c r="AZ494">
        <v>37.419418</v>
      </c>
      <c r="BA494">
        <v>27.476189999999999</v>
      </c>
      <c r="BB494">
        <v>53.015569999999997</v>
      </c>
      <c r="BC494">
        <v>27.366878</v>
      </c>
      <c r="BD494" s="169">
        <v>80.143849000000003</v>
      </c>
      <c r="BE494">
        <v>727.48377000000005</v>
      </c>
      <c r="BF494">
        <v>25.175287999999998</v>
      </c>
      <c r="BG494">
        <v>4.8713601000000004</v>
      </c>
      <c r="BH494">
        <v>1.2183949999999999</v>
      </c>
      <c r="BI494">
        <v>1.12242</v>
      </c>
      <c r="BJ494">
        <v>27.227647999999999</v>
      </c>
      <c r="BK494">
        <v>18.094835</v>
      </c>
      <c r="BL494">
        <v>1410.7977000000001</v>
      </c>
      <c r="BM494">
        <v>13.812606000000001</v>
      </c>
      <c r="BN494">
        <v>6.8872467999999998</v>
      </c>
      <c r="BO494">
        <v>155.29709</v>
      </c>
      <c r="BP494">
        <v>85.119613999999999</v>
      </c>
      <c r="BQ494">
        <v>3.7288356</v>
      </c>
      <c r="BR494">
        <v>1.2164394000000001</v>
      </c>
      <c r="BS494">
        <v>0.46803391</v>
      </c>
      <c r="BT494">
        <v>0.35439177999999999</v>
      </c>
      <c r="BU494">
        <v>3.3480289999999999</v>
      </c>
      <c r="BV494">
        <v>1.4526885</v>
      </c>
      <c r="BW494">
        <v>7.3839696999999997</v>
      </c>
      <c r="BX494">
        <v>10.509228</v>
      </c>
      <c r="BY494">
        <v>7.3839696999999997</v>
      </c>
      <c r="BZ494">
        <v>295.87437999999997</v>
      </c>
      <c r="CA494">
        <v>94.986470999999995</v>
      </c>
      <c r="CB494">
        <v>45.015428999999997</v>
      </c>
      <c r="CC494">
        <v>0.87397742</v>
      </c>
      <c r="CD494">
        <v>86.128653</v>
      </c>
      <c r="CE494">
        <v>103.47266</v>
      </c>
      <c r="CF494">
        <v>315.22388000000001</v>
      </c>
      <c r="CG494">
        <v>109.91969</v>
      </c>
      <c r="CH494">
        <v>1.05087</v>
      </c>
      <c r="CI494">
        <v>1.1327749</v>
      </c>
      <c r="CJ494">
        <v>1.8865083</v>
      </c>
      <c r="CK494">
        <v>1.0812546999999999</v>
      </c>
      <c r="CL494">
        <v>1.6662938E-3</v>
      </c>
      <c r="CM494">
        <v>2.6334663000000002E-3</v>
      </c>
      <c r="CN494">
        <v>2.3467388E-3</v>
      </c>
      <c r="CO494">
        <v>7.8498551000000007E-3</v>
      </c>
      <c r="CP494">
        <v>2.5334958E-3</v>
      </c>
      <c r="CQ494">
        <v>3.5164172E-3</v>
      </c>
      <c r="CR494">
        <v>4.9671624999999997E-2</v>
      </c>
      <c r="CS494">
        <v>0.20935344</v>
      </c>
      <c r="CT494">
        <v>7.7791585000000003</v>
      </c>
      <c r="CU494">
        <v>11.947431999999999</v>
      </c>
      <c r="CV494">
        <v>3.1310536999999998</v>
      </c>
      <c r="CW494">
        <v>62.039850000000001</v>
      </c>
    </row>
    <row r="495" spans="3:101">
      <c r="C495" t="s">
        <v>1168</v>
      </c>
      <c r="D495" t="s">
        <v>2</v>
      </c>
      <c r="E495">
        <v>8.1894959000000007</v>
      </c>
      <c r="F495">
        <v>1.0949971000000001</v>
      </c>
      <c r="G495">
        <v>8.8045033999999998</v>
      </c>
      <c r="H495">
        <v>9.1086004999999998E-2</v>
      </c>
      <c r="I495">
        <v>1.7003313999999999E-2</v>
      </c>
      <c r="J495">
        <v>1.1328629999999999E-2</v>
      </c>
      <c r="K495">
        <v>2.1920179000000001E-2</v>
      </c>
      <c r="L495">
        <v>4.9126619000000003E-2</v>
      </c>
      <c r="M495">
        <v>3.4367193999999997E-2</v>
      </c>
      <c r="N495">
        <v>9.9680880999999995E-3</v>
      </c>
      <c r="O495">
        <v>3.8034312E-3</v>
      </c>
      <c r="P495">
        <v>8.3333438000000003E-3</v>
      </c>
      <c r="Q495">
        <v>2.9603974000000002E-2</v>
      </c>
      <c r="R495">
        <v>2.5046379000000001E-2</v>
      </c>
      <c r="S495">
        <v>0.11601798000000001</v>
      </c>
      <c r="T495">
        <v>8.8770059000000002E-3</v>
      </c>
      <c r="U495">
        <v>1.5075375</v>
      </c>
      <c r="V495">
        <v>1.0973706999999999E-2</v>
      </c>
      <c r="W495">
        <v>0</v>
      </c>
      <c r="X495">
        <v>5.5329448000000003E-2</v>
      </c>
      <c r="Y495">
        <v>0.12994396</v>
      </c>
      <c r="Z495">
        <v>0.12977283000000001</v>
      </c>
      <c r="AA495">
        <v>6.6389447999999998E-4</v>
      </c>
      <c r="AB495">
        <v>1.3165403</v>
      </c>
      <c r="AC495">
        <v>0.12160179</v>
      </c>
      <c r="AD495">
        <v>0</v>
      </c>
      <c r="AE495">
        <v>4.7554661999999999E-4</v>
      </c>
      <c r="AF495">
        <v>8.0842925000000003E-4</v>
      </c>
      <c r="AG495">
        <v>0</v>
      </c>
      <c r="AH495">
        <v>5.5696362000000003E-3</v>
      </c>
      <c r="AI495">
        <v>5.7599764000000001E-3</v>
      </c>
      <c r="AJ495">
        <v>5.5023331999999999E-3</v>
      </c>
      <c r="AK495">
        <v>5.2914016999999996E-4</v>
      </c>
      <c r="AL495" s="4">
        <v>2.1951660999999999E-5</v>
      </c>
      <c r="AM495">
        <v>0</v>
      </c>
      <c r="AN495">
        <v>6.6389447999999998E-4</v>
      </c>
      <c r="AO495">
        <v>1.2796291</v>
      </c>
      <c r="AP495">
        <v>0.54561333000000001</v>
      </c>
      <c r="AQ495">
        <v>23.034769000000001</v>
      </c>
      <c r="AR495">
        <v>15.518509</v>
      </c>
      <c r="AS495">
        <v>14.446261</v>
      </c>
      <c r="AT495">
        <v>0.43744221</v>
      </c>
      <c r="AU495">
        <v>0.16440813000000001</v>
      </c>
      <c r="AV495">
        <v>334.65021000000002</v>
      </c>
      <c r="AW495">
        <v>216.19268</v>
      </c>
      <c r="AX495">
        <v>732.39523999999994</v>
      </c>
      <c r="AY495">
        <v>79.721650999999994</v>
      </c>
      <c r="AZ495">
        <v>78.397957000000005</v>
      </c>
      <c r="BA495">
        <v>25.082045000000001</v>
      </c>
      <c r="BB495">
        <v>33.797933999999998</v>
      </c>
      <c r="BC495">
        <v>17.035330999999999</v>
      </c>
      <c r="BD495" s="169">
        <v>1015.5042</v>
      </c>
      <c r="BE495">
        <v>713.45289000000002</v>
      </c>
      <c r="BF495">
        <v>31.987489</v>
      </c>
      <c r="BG495">
        <v>1.5150208000000001</v>
      </c>
      <c r="BH495">
        <v>4.3813751999999999</v>
      </c>
      <c r="BI495">
        <v>0.20951402</v>
      </c>
      <c r="BJ495">
        <v>7.3783589999999997</v>
      </c>
      <c r="BK495">
        <v>86.468896999999998</v>
      </c>
      <c r="BL495">
        <v>87.406981000000002</v>
      </c>
      <c r="BM495">
        <v>4.8128381999999998</v>
      </c>
      <c r="BN495">
        <v>16.525061999999998</v>
      </c>
      <c r="BO495">
        <v>152.30868000000001</v>
      </c>
      <c r="BP495">
        <v>159.97448</v>
      </c>
      <c r="BQ495">
        <v>13.230362</v>
      </c>
      <c r="BR495">
        <v>0.59646478000000003</v>
      </c>
      <c r="BS495">
        <v>3.4375871</v>
      </c>
      <c r="BT495">
        <v>0.31795541999999999</v>
      </c>
      <c r="BU495">
        <v>0.19622286</v>
      </c>
      <c r="BV495">
        <v>2.8619164000000001</v>
      </c>
      <c r="BW495">
        <v>9.2524418999999997E-2</v>
      </c>
      <c r="BX495">
        <v>0.11984609</v>
      </c>
      <c r="BY495">
        <v>9.2524418999999997E-2</v>
      </c>
      <c r="BZ495">
        <v>283.06695999999999</v>
      </c>
      <c r="CA495">
        <v>357.46010000000001</v>
      </c>
      <c r="CB495">
        <v>42.357846000000002</v>
      </c>
      <c r="CC495">
        <v>2.4484257999999999</v>
      </c>
      <c r="CD495">
        <v>0.50362602000000001</v>
      </c>
      <c r="CE495">
        <v>0.19711472999999999</v>
      </c>
      <c r="CF495">
        <v>7.9658287999999994E-2</v>
      </c>
      <c r="CG495">
        <v>0.23781056</v>
      </c>
      <c r="CH495">
        <v>4.2304478000000003E-3</v>
      </c>
      <c r="CI495">
        <v>4.3497327999999997E-3</v>
      </c>
      <c r="CJ495">
        <v>7.4473904E-3</v>
      </c>
      <c r="CK495">
        <v>3.9996284E-3</v>
      </c>
      <c r="CL495" s="4">
        <v>1.0946869E-5</v>
      </c>
      <c r="CM495" s="4">
        <v>8.8188620000000006E-6</v>
      </c>
      <c r="CN495" s="4">
        <v>2.2993108E-5</v>
      </c>
      <c r="CO495" s="4">
        <v>1.7458324000000001E-5</v>
      </c>
      <c r="CP495" s="4">
        <v>1.2790693E-5</v>
      </c>
      <c r="CQ495" s="4">
        <v>8.3086589000000002E-6</v>
      </c>
      <c r="CR495">
        <v>8.6202668E-4</v>
      </c>
      <c r="CS495">
        <v>3.6332262999999999E-3</v>
      </c>
      <c r="CT495">
        <v>0.13500348000000001</v>
      </c>
      <c r="CU495">
        <v>1.8212795E-2</v>
      </c>
      <c r="CV495">
        <v>1.2607943E-2</v>
      </c>
      <c r="CW495">
        <v>0.36107758000000001</v>
      </c>
    </row>
    <row r="496" spans="3:101">
      <c r="C496" t="s">
        <v>1169</v>
      </c>
      <c r="D496" t="s">
        <v>2</v>
      </c>
      <c r="E496">
        <v>38.131943</v>
      </c>
      <c r="F496">
        <v>6.8241405999999998</v>
      </c>
      <c r="G496">
        <v>42.201701999999997</v>
      </c>
      <c r="H496">
        <v>0.90947915999999995</v>
      </c>
      <c r="I496">
        <v>2.0615527999999999</v>
      </c>
      <c r="J496">
        <v>1.5158848</v>
      </c>
      <c r="K496">
        <v>2.3725176000000001</v>
      </c>
      <c r="L496">
        <v>4.2590840999999999</v>
      </c>
      <c r="M496">
        <v>3.2614464000000001</v>
      </c>
      <c r="N496">
        <v>1.4553278999999999</v>
      </c>
      <c r="O496">
        <v>1.5381444</v>
      </c>
      <c r="P496">
        <v>0.92417567</v>
      </c>
      <c r="Q496">
        <v>0.16537862</v>
      </c>
      <c r="R496">
        <v>0.10903355000000001</v>
      </c>
      <c r="S496">
        <v>0.21352218000000001</v>
      </c>
      <c r="T496">
        <v>3.0813435E-2</v>
      </c>
      <c r="U496">
        <v>-19.524894</v>
      </c>
      <c r="V496">
        <v>0.12321892</v>
      </c>
      <c r="W496">
        <v>0</v>
      </c>
      <c r="X496">
        <v>0.44018072000000003</v>
      </c>
      <c r="Y496">
        <v>0.30752993000000001</v>
      </c>
      <c r="Z496">
        <v>0.69232271000000001</v>
      </c>
      <c r="AA496">
        <v>1.3764414000000001E-2</v>
      </c>
      <c r="AB496">
        <v>9.6629816000000002</v>
      </c>
      <c r="AC496">
        <v>61.991247999999999</v>
      </c>
      <c r="AD496">
        <v>0</v>
      </c>
      <c r="AE496">
        <v>1.1449042E-3</v>
      </c>
      <c r="AF496">
        <v>1.9463369E-3</v>
      </c>
      <c r="AG496">
        <v>0</v>
      </c>
      <c r="AH496">
        <v>6.7814353000000003E-3</v>
      </c>
      <c r="AI496">
        <v>7.5116107999999996E-3</v>
      </c>
      <c r="AJ496">
        <v>6.3676786000000001E-3</v>
      </c>
      <c r="AK496">
        <v>2.9001806999999998E-3</v>
      </c>
      <c r="AL496">
        <v>1.6368029000000001E-4</v>
      </c>
      <c r="AM496">
        <v>0</v>
      </c>
      <c r="AN496">
        <v>1.3764414000000001E-2</v>
      </c>
      <c r="AO496">
        <v>1163688.1000000001</v>
      </c>
      <c r="AP496">
        <v>1190630.7</v>
      </c>
      <c r="AQ496">
        <v>166.06381999999999</v>
      </c>
      <c r="AR496">
        <v>247.29506000000001</v>
      </c>
      <c r="AS496">
        <v>549.50505999999996</v>
      </c>
      <c r="AT496">
        <v>6.3232530999999996</v>
      </c>
      <c r="AU496">
        <v>1.3818739</v>
      </c>
      <c r="AV496">
        <v>17.624338000000002</v>
      </c>
      <c r="AW496">
        <v>78.332950999999994</v>
      </c>
      <c r="AX496">
        <v>-1068.5916999999999</v>
      </c>
      <c r="AY496">
        <v>56.757677999999999</v>
      </c>
      <c r="AZ496">
        <v>29.144694000000001</v>
      </c>
      <c r="BA496">
        <v>-72.639320999999995</v>
      </c>
      <c r="BB496">
        <v>-83.977395999999999</v>
      </c>
      <c r="BC496">
        <v>-42.228273000000002</v>
      </c>
      <c r="BD496" s="169">
        <v>245.77034</v>
      </c>
      <c r="BE496">
        <v>832.09810000000004</v>
      </c>
      <c r="BF496">
        <v>124.75026</v>
      </c>
      <c r="BG496">
        <v>-3.9118593000000002</v>
      </c>
      <c r="BH496">
        <v>-5.3719558000000003</v>
      </c>
      <c r="BI496">
        <v>-21.641857000000002</v>
      </c>
      <c r="BJ496">
        <v>125.21446</v>
      </c>
      <c r="BK496">
        <v>93.128956000000002</v>
      </c>
      <c r="BL496">
        <v>665.07424000000003</v>
      </c>
      <c r="BM496">
        <v>-113.28310999999999</v>
      </c>
      <c r="BN496">
        <v>-52.736468000000002</v>
      </c>
      <c r="BO496">
        <v>177.6361</v>
      </c>
      <c r="BP496">
        <v>104.28533</v>
      </c>
      <c r="BQ496">
        <v>-43.501849999999997</v>
      </c>
      <c r="BR496">
        <v>2.3160693999999999</v>
      </c>
      <c r="BS496">
        <v>1.2695063</v>
      </c>
      <c r="BT496">
        <v>-3.3848338</v>
      </c>
      <c r="BU496">
        <v>0.64452807999999995</v>
      </c>
      <c r="BV496">
        <v>-9.3381735999999993</v>
      </c>
      <c r="BW496">
        <v>0.35359831000000003</v>
      </c>
      <c r="BX496">
        <v>1.4797302000000001</v>
      </c>
      <c r="BY496">
        <v>0.35359831000000003</v>
      </c>
      <c r="BZ496">
        <v>330.32459999999998</v>
      </c>
      <c r="CA496">
        <v>-141.06881000000001</v>
      </c>
      <c r="CB496">
        <v>-74.054004000000006</v>
      </c>
      <c r="CC496">
        <v>-7.8780128999999999</v>
      </c>
      <c r="CD496">
        <v>3.3083930000000001</v>
      </c>
      <c r="CE496">
        <v>4.3958953999999997</v>
      </c>
      <c r="CF496">
        <v>1.1554586</v>
      </c>
      <c r="CG496">
        <v>3.5848990999999999</v>
      </c>
      <c r="CH496">
        <v>1.1358412E-2</v>
      </c>
      <c r="CI496">
        <v>1.5098583E-2</v>
      </c>
      <c r="CJ496">
        <v>2.0235788000000001E-2</v>
      </c>
      <c r="CK496">
        <v>0.75614524000000005</v>
      </c>
      <c r="CL496">
        <v>8.0136613999999995E-4</v>
      </c>
      <c r="CM496">
        <v>5.9674065999999997E-4</v>
      </c>
      <c r="CN496">
        <v>1.6254404000000001E-3</v>
      </c>
      <c r="CO496">
        <v>1.2513263E-3</v>
      </c>
      <c r="CP496">
        <v>9.1797795000000005E-4</v>
      </c>
      <c r="CQ496">
        <v>5.7403181000000004E-4</v>
      </c>
      <c r="CR496">
        <v>5.6368078E-3</v>
      </c>
      <c r="CS496">
        <v>2.3757731000000001E-2</v>
      </c>
      <c r="CT496">
        <v>0.88279012999999995</v>
      </c>
      <c r="CU496">
        <v>0.13012135999999999</v>
      </c>
      <c r="CV496">
        <v>3.7640056999999998E-2</v>
      </c>
      <c r="CW496">
        <v>4.4336016000000003</v>
      </c>
    </row>
    <row r="497" spans="3:101">
      <c r="C497" t="s">
        <v>1170</v>
      </c>
      <c r="D497" t="s">
        <v>2</v>
      </c>
      <c r="E497">
        <v>1.2453407999999999E-4</v>
      </c>
      <c r="F497" s="4">
        <v>1.8593135999999998E-5</v>
      </c>
      <c r="G497">
        <v>4.2129308E-4</v>
      </c>
      <c r="H497" s="4">
        <v>1.6128924999999999E-5</v>
      </c>
      <c r="I497" s="4">
        <v>1.8120304000000001E-5</v>
      </c>
      <c r="J497" s="4">
        <v>8.7792299999999993E-6</v>
      </c>
      <c r="K497" s="4">
        <v>2.9244124999999998E-5</v>
      </c>
      <c r="L497" s="4">
        <v>3.9542374000000003E-6</v>
      </c>
      <c r="M497" s="4">
        <v>2.4343463E-5</v>
      </c>
      <c r="N497" s="4">
        <v>1.8443719E-5</v>
      </c>
      <c r="O497" s="4">
        <v>1.4974547000000001E-7</v>
      </c>
      <c r="P497" s="4">
        <v>3.0748193000000001E-7</v>
      </c>
      <c r="Q497" s="4">
        <v>6.0257366000000002E-7</v>
      </c>
      <c r="R497" s="4">
        <v>4.5200526999999998E-7</v>
      </c>
      <c r="S497" s="4">
        <v>1.0484335999999999E-6</v>
      </c>
      <c r="T497" s="4">
        <v>4.2160459999999997E-7</v>
      </c>
      <c r="U497" s="4">
        <v>3.6143267000000001E-6</v>
      </c>
      <c r="V497" s="4">
        <v>3.4522397000000002E-6</v>
      </c>
      <c r="W497">
        <v>0</v>
      </c>
      <c r="X497" s="4">
        <v>2.2140159999999999E-6</v>
      </c>
      <c r="Y497" s="4">
        <v>9.124682E-7</v>
      </c>
      <c r="Z497" s="4">
        <v>1.8032252000000001E-6</v>
      </c>
      <c r="AA497" s="4">
        <v>6.8059984000000005E-7</v>
      </c>
      <c r="AB497" s="4">
        <v>1.2895030999999999E-6</v>
      </c>
      <c r="AC497" s="4">
        <v>4.4588747999999998E-6</v>
      </c>
      <c r="AD497">
        <v>0</v>
      </c>
      <c r="AE497" s="4">
        <v>4.3539925999999998E-9</v>
      </c>
      <c r="AF497" s="4">
        <v>7.4017858000000003E-9</v>
      </c>
      <c r="AG497" s="4">
        <v>5.4599999999999998E-9</v>
      </c>
      <c r="AH497" s="4">
        <v>3.7811453000000002E-8</v>
      </c>
      <c r="AI497" s="4">
        <v>4.6489124E-8</v>
      </c>
      <c r="AJ497" s="4">
        <v>3.3002055000000001E-8</v>
      </c>
      <c r="AK497" s="4">
        <v>2.4616447E-8</v>
      </c>
      <c r="AL497" s="4">
        <v>2.6448369E-9</v>
      </c>
      <c r="AM497">
        <v>0</v>
      </c>
      <c r="AN497" s="4">
        <v>6.8059984000000005E-7</v>
      </c>
      <c r="AO497" s="4">
        <v>3.9102557000000003E-5</v>
      </c>
      <c r="AP497" s="4">
        <v>1.3391723E-5</v>
      </c>
      <c r="AQ497">
        <v>2.8619413E-4</v>
      </c>
      <c r="AR497">
        <v>1.3327991000000001E-2</v>
      </c>
      <c r="AS497" s="4">
        <v>1.5305667000000001E-5</v>
      </c>
      <c r="AT497">
        <v>1.2671994E-4</v>
      </c>
      <c r="AU497" s="4">
        <v>2.2695030000000001E-5</v>
      </c>
      <c r="AV497" s="4">
        <v>1.1995615E-6</v>
      </c>
      <c r="AW497" s="4">
        <v>3.0378061E-5</v>
      </c>
      <c r="AX497">
        <v>3.1216696999999998E-4</v>
      </c>
      <c r="AY497" s="4">
        <v>3.2124445999999999E-6</v>
      </c>
      <c r="AZ497" s="4">
        <v>6.2695923999999996E-6</v>
      </c>
      <c r="BA497" s="4">
        <v>2.2444668000000001E-5</v>
      </c>
      <c r="BB497" s="4">
        <v>1.5619229E-5</v>
      </c>
      <c r="BC497" s="4">
        <v>8.5068371000000008E-6</v>
      </c>
      <c r="BD497" s="1051">
        <v>3.7516471999999999E-6</v>
      </c>
      <c r="BE497" s="4">
        <v>2.0092132000000001E-5</v>
      </c>
      <c r="BF497" s="4">
        <v>3.2389369000000002E-7</v>
      </c>
      <c r="BG497" s="4">
        <v>1.0447713999999999E-6</v>
      </c>
      <c r="BH497" s="4">
        <v>2.7076147999999999E-7</v>
      </c>
      <c r="BI497" s="4">
        <v>2.5397376000000002E-7</v>
      </c>
      <c r="BJ497" s="4">
        <v>8.3469302999999999E-6</v>
      </c>
      <c r="BK497" s="4">
        <v>9.5522567999999996E-7</v>
      </c>
      <c r="BL497" s="4">
        <v>2.8061642000000001E-5</v>
      </c>
      <c r="BM497" s="4">
        <v>2.6440541999999998E-7</v>
      </c>
      <c r="BN497" s="4">
        <v>2.6174886000000001E-6</v>
      </c>
      <c r="BO497" s="4">
        <v>4.2554262000000001E-6</v>
      </c>
      <c r="BP497" s="4">
        <v>1.9053686E-6</v>
      </c>
      <c r="BQ497" s="4">
        <v>1.4480136000000001E-7</v>
      </c>
      <c r="BR497" s="4">
        <v>4.5383500000000001E-7</v>
      </c>
      <c r="BS497" s="4">
        <v>9.5668558000000006E-8</v>
      </c>
      <c r="BT497" s="4">
        <v>8.2922200999999994E-8</v>
      </c>
      <c r="BU497" s="4">
        <v>3.4114139000000001E-6</v>
      </c>
      <c r="BV497" s="4">
        <v>2.9716606000000001E-7</v>
      </c>
      <c r="BW497" s="4">
        <v>2.8791056000000001E-6</v>
      </c>
      <c r="BX497" s="4">
        <v>4.9796883000000003E-6</v>
      </c>
      <c r="BY497" s="4">
        <v>2.8791056000000001E-6</v>
      </c>
      <c r="BZ497" s="4">
        <v>9.6133660000000005E-6</v>
      </c>
      <c r="CA497" s="4">
        <v>3.5199842E-6</v>
      </c>
      <c r="CB497" s="4">
        <v>7.6874860000000005E-6</v>
      </c>
      <c r="CC497" s="4">
        <v>5.4168435000000002E-7</v>
      </c>
      <c r="CD497" s="4">
        <v>2.3270175000000001E-5</v>
      </c>
      <c r="CE497" s="4">
        <v>5.5057013E-5</v>
      </c>
      <c r="CF497" s="4">
        <v>2.136239E-5</v>
      </c>
      <c r="CG497" s="4">
        <v>3.7138031000000001E-5</v>
      </c>
      <c r="CH497" s="4">
        <v>1.0119084999999999E-7</v>
      </c>
      <c r="CI497" s="4">
        <v>2.0658626000000001E-7</v>
      </c>
      <c r="CJ497" s="4">
        <v>1.8043261E-7</v>
      </c>
      <c r="CK497" s="4">
        <v>1.3164899000000001E-7</v>
      </c>
      <c r="CL497" s="4">
        <v>6.8490366999999999E-9</v>
      </c>
      <c r="CM497" s="4">
        <v>3.3461337999999999E-9</v>
      </c>
      <c r="CN497" s="4">
        <v>1.5367616000000001E-9</v>
      </c>
      <c r="CO497" s="4">
        <v>9.1827213000000007E-9</v>
      </c>
      <c r="CP497" s="4">
        <v>1.1020468999999999E-8</v>
      </c>
      <c r="CQ497" s="4">
        <v>6.9703170999999999E-9</v>
      </c>
      <c r="CR497" s="4">
        <v>2.6480276999999999E-8</v>
      </c>
      <c r="CS497" s="4">
        <v>1.1160773E-7</v>
      </c>
      <c r="CT497" s="4">
        <v>4.1471216000000001E-6</v>
      </c>
      <c r="CU497" s="4">
        <v>2.79794E-7</v>
      </c>
      <c r="CV497" s="4">
        <v>5.2107016000000004E-7</v>
      </c>
      <c r="CW497">
        <v>1.3427780999999999E-4</v>
      </c>
    </row>
    <row r="498" spans="3:101">
      <c r="C498" t="s">
        <v>1171</v>
      </c>
      <c r="D498" t="s">
        <v>2</v>
      </c>
      <c r="E498">
        <v>14.091015000000001</v>
      </c>
      <c r="F498">
        <v>1.7707529</v>
      </c>
      <c r="G498">
        <v>46.503971</v>
      </c>
      <c r="H498">
        <v>2.1118608999999999</v>
      </c>
      <c r="I498">
        <v>0.74573343999999997</v>
      </c>
      <c r="J498">
        <v>0.48542554999999998</v>
      </c>
      <c r="K498">
        <v>1.4305889000000001</v>
      </c>
      <c r="L498">
        <v>0.15945326000000001</v>
      </c>
      <c r="M498">
        <v>0.81468364999999998</v>
      </c>
      <c r="N498">
        <v>0.79835776999999997</v>
      </c>
      <c r="O498">
        <v>1.5614101E-2</v>
      </c>
      <c r="P498">
        <v>3.6878109999999999E-2</v>
      </c>
      <c r="Q498">
        <v>7.7510955000000006E-2</v>
      </c>
      <c r="R498">
        <v>5.3120779999999999E-2</v>
      </c>
      <c r="S498">
        <v>0.13132979</v>
      </c>
      <c r="T498">
        <v>5.4425266E-2</v>
      </c>
      <c r="U498">
        <v>0.28004775999999998</v>
      </c>
      <c r="V498">
        <v>0.26607252999999997</v>
      </c>
      <c r="W498">
        <v>0</v>
      </c>
      <c r="X498">
        <v>0.18572295</v>
      </c>
      <c r="Y498">
        <v>6.6504954000000005E-2</v>
      </c>
      <c r="Z498">
        <v>0.18116235999999999</v>
      </c>
      <c r="AA498">
        <v>4.8658476999999999E-2</v>
      </c>
      <c r="AB498">
        <v>0.12113249</v>
      </c>
      <c r="AC498">
        <v>0.40844014000000001</v>
      </c>
      <c r="AD498">
        <v>0</v>
      </c>
      <c r="AE498">
        <v>5.3046327000000001E-4</v>
      </c>
      <c r="AF498">
        <v>9.0178733000000001E-4</v>
      </c>
      <c r="AG498">
        <v>0</v>
      </c>
      <c r="AH498">
        <v>4.9046979000000003E-3</v>
      </c>
      <c r="AI498">
        <v>6.0316609000000002E-3</v>
      </c>
      <c r="AJ498">
        <v>4.2818700000000001E-3</v>
      </c>
      <c r="AK498">
        <v>2.9633633999999998E-3</v>
      </c>
      <c r="AL498">
        <v>2.5270185E-4</v>
      </c>
      <c r="AM498">
        <v>0</v>
      </c>
      <c r="AN498">
        <v>4.8658476999999999E-2</v>
      </c>
      <c r="AO498">
        <v>3.2775653</v>
      </c>
      <c r="AP498">
        <v>1.1414829</v>
      </c>
      <c r="AQ498">
        <v>32.701678999999999</v>
      </c>
      <c r="AR498">
        <v>951.74174000000005</v>
      </c>
      <c r="AS498">
        <v>1.211044</v>
      </c>
      <c r="AT498">
        <v>16.926549999999999</v>
      </c>
      <c r="AU498">
        <v>1.6835789999999999</v>
      </c>
      <c r="AV498">
        <v>0.109891</v>
      </c>
      <c r="AW498">
        <v>2.2192542</v>
      </c>
      <c r="AX498">
        <v>23.253579999999999</v>
      </c>
      <c r="AY498">
        <v>0.31159512</v>
      </c>
      <c r="AZ498">
        <v>0.34631521999999998</v>
      </c>
      <c r="BA498">
        <v>2.7230007999999999</v>
      </c>
      <c r="BB498">
        <v>1.1724287</v>
      </c>
      <c r="BC498">
        <v>0.63653919999999997</v>
      </c>
      <c r="BD498" s="169">
        <v>0.14301746000000001</v>
      </c>
      <c r="BE498">
        <v>2.1202239999999999</v>
      </c>
      <c r="BF498">
        <v>3.5439966000000003E-2</v>
      </c>
      <c r="BG498">
        <v>0.10368262</v>
      </c>
      <c r="BH498">
        <v>2.586832E-2</v>
      </c>
      <c r="BI498">
        <v>2.3516348999999999E-2</v>
      </c>
      <c r="BJ498">
        <v>0.61103235</v>
      </c>
      <c r="BK498">
        <v>8.0181199999999994E-2</v>
      </c>
      <c r="BL498">
        <v>2.5952905999999998</v>
      </c>
      <c r="BM498">
        <v>2.7226638000000001E-2</v>
      </c>
      <c r="BN498">
        <v>0.19732537999999999</v>
      </c>
      <c r="BO498">
        <v>0.44814013000000003</v>
      </c>
      <c r="BP498">
        <v>0.18678696</v>
      </c>
      <c r="BQ498">
        <v>1.4081252000000001E-2</v>
      </c>
      <c r="BR498">
        <v>3.5820626000000001E-2</v>
      </c>
      <c r="BS498">
        <v>8.4069295000000002E-3</v>
      </c>
      <c r="BT498">
        <v>7.2538001E-3</v>
      </c>
      <c r="BU498">
        <v>0.26518640999999998</v>
      </c>
      <c r="BV498">
        <v>2.3526795E-2</v>
      </c>
      <c r="BW498">
        <v>0.40895763000000002</v>
      </c>
      <c r="BX498">
        <v>0.43843944000000001</v>
      </c>
      <c r="BY498">
        <v>0.40895763000000002</v>
      </c>
      <c r="BZ498">
        <v>1.055034</v>
      </c>
      <c r="CA498">
        <v>0.40204877999999999</v>
      </c>
      <c r="CB498">
        <v>0.70401727000000003</v>
      </c>
      <c r="CC498">
        <v>3.9719540999999997E-2</v>
      </c>
      <c r="CD498">
        <v>3.0175401000000002</v>
      </c>
      <c r="CE498">
        <v>7.2785080999999998</v>
      </c>
      <c r="CF498">
        <v>2.8193731</v>
      </c>
      <c r="CG498">
        <v>4.8316999000000003</v>
      </c>
      <c r="CH498">
        <v>1.2882362E-2</v>
      </c>
      <c r="CI498">
        <v>2.6668381000000001E-2</v>
      </c>
      <c r="CJ498">
        <v>2.2967801999999999E-2</v>
      </c>
      <c r="CK498">
        <v>1.4427209999999999E-2</v>
      </c>
      <c r="CL498">
        <v>2.8479347E-4</v>
      </c>
      <c r="CM498">
        <v>1.8717800999999999E-4</v>
      </c>
      <c r="CN498" s="4">
        <v>6.4938398999999999E-5</v>
      </c>
      <c r="CO498">
        <v>3.1064979999999997E-4</v>
      </c>
      <c r="CP498">
        <v>5.4161428000000001E-4</v>
      </c>
      <c r="CQ498">
        <v>3.0452758999999999E-4</v>
      </c>
      <c r="CR498">
        <v>2.0546488999999999E-3</v>
      </c>
      <c r="CS498">
        <v>8.6598299000000007E-3</v>
      </c>
      <c r="CT498">
        <v>0.32178209000000002</v>
      </c>
      <c r="CU498">
        <v>3.2978065000000001E-2</v>
      </c>
      <c r="CV498">
        <v>5.3416572000000002E-2</v>
      </c>
      <c r="CW498">
        <v>9.6572937000000003</v>
      </c>
    </row>
    <row r="499" spans="3:101">
      <c r="C499" t="s">
        <v>1172</v>
      </c>
      <c r="D499" t="s">
        <v>2</v>
      </c>
      <c r="E499">
        <v>323.4615</v>
      </c>
      <c r="F499">
        <v>61.788347999999999</v>
      </c>
      <c r="G499">
        <v>508.91293000000002</v>
      </c>
      <c r="H499">
        <v>9.3129735</v>
      </c>
      <c r="I499">
        <v>0</v>
      </c>
      <c r="J499">
        <v>0</v>
      </c>
      <c r="K499">
        <v>0</v>
      </c>
      <c r="L499">
        <v>0</v>
      </c>
      <c r="M499">
        <v>0</v>
      </c>
      <c r="N499">
        <v>0</v>
      </c>
      <c r="O499">
        <v>0.23106099999999999</v>
      </c>
      <c r="P499">
        <v>0.33506430999999998</v>
      </c>
      <c r="Q499">
        <v>0.86490350999999999</v>
      </c>
      <c r="R499">
        <v>0.86675959999999996</v>
      </c>
      <c r="S499">
        <v>73.440059000000005</v>
      </c>
      <c r="T499">
        <v>0.33179235000000001</v>
      </c>
      <c r="U499">
        <v>2.4788714999999999</v>
      </c>
      <c r="V499">
        <v>0.32691578999999998</v>
      </c>
      <c r="W499">
        <v>0</v>
      </c>
      <c r="X499">
        <v>1.9202572</v>
      </c>
      <c r="Y499">
        <v>0.76375033000000003</v>
      </c>
      <c r="Z499">
        <v>2.0632647999999998</v>
      </c>
      <c r="AA499">
        <v>2.6281233000000001E-2</v>
      </c>
      <c r="AB499">
        <v>38.254590999999998</v>
      </c>
      <c r="AC499">
        <v>2.1523531</v>
      </c>
      <c r="AD499">
        <v>0</v>
      </c>
      <c r="AE499">
        <v>7.5234322000000001E-3</v>
      </c>
      <c r="AF499">
        <v>1.2789834E-2</v>
      </c>
      <c r="AG499">
        <v>0</v>
      </c>
      <c r="AH499">
        <v>2.1324930999999998E-2</v>
      </c>
      <c r="AI499">
        <v>2.3993225E-2</v>
      </c>
      <c r="AJ499">
        <v>1.7610102999999998E-2</v>
      </c>
      <c r="AK499">
        <v>1.7746060000000001E-2</v>
      </c>
      <c r="AL499">
        <v>1.7164486E-3</v>
      </c>
      <c r="AM499">
        <v>0</v>
      </c>
      <c r="AN499">
        <v>2.6281233000000001E-2</v>
      </c>
      <c r="AO499">
        <v>20.042833000000002</v>
      </c>
      <c r="AP499">
        <v>7.3953290000000003</v>
      </c>
      <c r="AQ499">
        <v>972.11881000000005</v>
      </c>
      <c r="AR499">
        <v>1480.0065</v>
      </c>
      <c r="AS499">
        <v>8.4238108</v>
      </c>
      <c r="AT499">
        <v>18.210660000000001</v>
      </c>
      <c r="AU499">
        <v>8.8120543999999992</v>
      </c>
      <c r="AV499">
        <v>2.0261300000000002</v>
      </c>
      <c r="AW499">
        <v>20.569355999999999</v>
      </c>
      <c r="AX499">
        <v>108.05576000000001</v>
      </c>
      <c r="AY499">
        <v>7.7106700000000004</v>
      </c>
      <c r="AZ499">
        <v>6.7483257999999999</v>
      </c>
      <c r="BA499">
        <v>15.975167000000001</v>
      </c>
      <c r="BB499">
        <v>5.8773084999999998</v>
      </c>
      <c r="BC499">
        <v>3.0663621999999999</v>
      </c>
      <c r="BD499" s="169">
        <v>0</v>
      </c>
      <c r="BE499">
        <v>41.557003999999999</v>
      </c>
      <c r="BF499">
        <v>0.44997108000000002</v>
      </c>
      <c r="BG499">
        <v>0.72649799999999998</v>
      </c>
      <c r="BH499">
        <v>0.18849515999999999</v>
      </c>
      <c r="BI499">
        <v>0.12904769999999999</v>
      </c>
      <c r="BJ499">
        <v>1.1448495000000001</v>
      </c>
      <c r="BK499">
        <v>1.0940542</v>
      </c>
      <c r="BL499">
        <v>25.280107999999998</v>
      </c>
      <c r="BM499">
        <v>0.36544903000000001</v>
      </c>
      <c r="BN499">
        <v>2.0176571999999999</v>
      </c>
      <c r="BO499">
        <v>8.8703818000000005</v>
      </c>
      <c r="BP499">
        <v>2.0151962000000001</v>
      </c>
      <c r="BQ499">
        <v>0.17429564</v>
      </c>
      <c r="BR499">
        <v>0.13984324000000001</v>
      </c>
      <c r="BS499">
        <v>7.0543301000000003E-2</v>
      </c>
      <c r="BT499">
        <v>6.0236051999999998E-2</v>
      </c>
      <c r="BU499">
        <v>8.8252202000000004</v>
      </c>
      <c r="BV499">
        <v>0.50670124999999999</v>
      </c>
      <c r="BW499">
        <v>4.2165422000000001</v>
      </c>
      <c r="BX499">
        <v>3.4882575999999998</v>
      </c>
      <c r="BY499">
        <v>4.2165422000000001</v>
      </c>
      <c r="BZ499">
        <v>18.080535999999999</v>
      </c>
      <c r="CA499">
        <v>8.9135103999999998</v>
      </c>
      <c r="CB499">
        <v>16.704042000000001</v>
      </c>
      <c r="CC499">
        <v>0.22411170999999999</v>
      </c>
      <c r="CD499">
        <v>33.893906999999999</v>
      </c>
      <c r="CE499">
        <v>6.0490769999999996</v>
      </c>
      <c r="CF499">
        <v>4.3689131999999997</v>
      </c>
      <c r="CG499">
        <v>9.5624111999999997</v>
      </c>
      <c r="CH499">
        <v>0.15677290999999999</v>
      </c>
      <c r="CI499">
        <v>0.16257825000000001</v>
      </c>
      <c r="CJ499">
        <v>0.29622886999999998</v>
      </c>
      <c r="CK499">
        <v>0.21313109999999999</v>
      </c>
      <c r="CL499">
        <v>2.0927974000000001E-4</v>
      </c>
      <c r="CM499">
        <v>2.0927974000000001E-4</v>
      </c>
      <c r="CN499">
        <v>2.0927974000000001E-4</v>
      </c>
      <c r="CO499">
        <v>2.0927974000000001E-4</v>
      </c>
      <c r="CP499">
        <v>2.0927974000000001E-4</v>
      </c>
      <c r="CQ499">
        <v>2.0927974000000001E-4</v>
      </c>
      <c r="CR499">
        <v>0.12176591</v>
      </c>
      <c r="CS499">
        <v>0.51321276999999998</v>
      </c>
      <c r="CT499">
        <v>19.069967999999999</v>
      </c>
      <c r="CU499">
        <v>0.80208100000000004</v>
      </c>
      <c r="CV499">
        <v>0.6742842</v>
      </c>
      <c r="CW499">
        <v>17.635974000000001</v>
      </c>
    </row>
    <row r="500" spans="3:101">
      <c r="C500" t="s">
        <v>1173</v>
      </c>
      <c r="D500" t="s">
        <v>2</v>
      </c>
      <c r="E500">
        <v>38.475588999999999</v>
      </c>
      <c r="F500">
        <v>5.8751674999999999</v>
      </c>
      <c r="G500">
        <v>311.73862000000003</v>
      </c>
      <c r="H500">
        <v>1.0128927999999999</v>
      </c>
      <c r="I500">
        <v>0.33292629000000001</v>
      </c>
      <c r="J500">
        <v>0.85923651000000001</v>
      </c>
      <c r="K500">
        <v>0.88280627</v>
      </c>
      <c r="L500">
        <v>0.73581390999999996</v>
      </c>
      <c r="M500">
        <v>0.55379708999999999</v>
      </c>
      <c r="N500">
        <v>0.67071552000000001</v>
      </c>
      <c r="O500">
        <v>0.15851625999999999</v>
      </c>
      <c r="P500">
        <v>0.50846835999999995</v>
      </c>
      <c r="Q500">
        <v>0.11215602</v>
      </c>
      <c r="R500">
        <v>0.10881025</v>
      </c>
      <c r="S500">
        <v>0.36096653000000001</v>
      </c>
      <c r="T500">
        <v>8.4800256000000004E-2</v>
      </c>
      <c r="U500">
        <v>0.23162827999999999</v>
      </c>
      <c r="V500">
        <v>0.15274213</v>
      </c>
      <c r="W500">
        <v>0</v>
      </c>
      <c r="X500">
        <v>8.6758936999999996</v>
      </c>
      <c r="Y500">
        <v>8.3440265999999999E-2</v>
      </c>
      <c r="Z500">
        <v>0.10263294000000001</v>
      </c>
      <c r="AA500">
        <v>8.3357818000000007E-3</v>
      </c>
      <c r="AB500">
        <v>0.22530547000000001</v>
      </c>
      <c r="AC500">
        <v>2.5119744000000002</v>
      </c>
      <c r="AD500">
        <v>0</v>
      </c>
      <c r="AE500">
        <v>4.3860404999999996E-3</v>
      </c>
      <c r="AF500">
        <v>7.4562680000000003E-3</v>
      </c>
      <c r="AG500">
        <v>0</v>
      </c>
      <c r="AH500">
        <v>1.2278147E-2</v>
      </c>
      <c r="AI500">
        <v>1.2449610999999999E-2</v>
      </c>
      <c r="AJ500">
        <v>1.0442458E-2</v>
      </c>
      <c r="AK500">
        <v>1.1833876E-2</v>
      </c>
      <c r="AL500">
        <v>9.9096063999999998E-4</v>
      </c>
      <c r="AM500">
        <v>0</v>
      </c>
      <c r="AN500">
        <v>8.3357818000000007E-3</v>
      </c>
      <c r="AO500">
        <v>8.5427114</v>
      </c>
      <c r="AP500">
        <v>3.0214745000000001</v>
      </c>
      <c r="AQ500">
        <v>2371.3024</v>
      </c>
      <c r="AR500">
        <v>118.26636999999999</v>
      </c>
      <c r="AS500">
        <v>5.8473685</v>
      </c>
      <c r="AT500">
        <v>10.448499</v>
      </c>
      <c r="AU500">
        <v>8.6233290999999994</v>
      </c>
      <c r="AV500">
        <v>0.26015050000000001</v>
      </c>
      <c r="AW500">
        <v>1.5583450999999999</v>
      </c>
      <c r="AX500">
        <v>15.099396</v>
      </c>
      <c r="AY500">
        <v>0.64531139999999998</v>
      </c>
      <c r="AZ500">
        <v>0.89238048999999997</v>
      </c>
      <c r="BA500">
        <v>0.81000232999999999</v>
      </c>
      <c r="BB500">
        <v>0.89489715000000003</v>
      </c>
      <c r="BC500">
        <v>0.52084699000000001</v>
      </c>
      <c r="BD500" s="169">
        <v>9.3487387999999996</v>
      </c>
      <c r="BE500">
        <v>3.7136152999999998</v>
      </c>
      <c r="BF500">
        <v>0.10194267999999999</v>
      </c>
      <c r="BG500">
        <v>0.12920217000000001</v>
      </c>
      <c r="BH500">
        <v>0.10255923</v>
      </c>
      <c r="BI500">
        <v>9.7401106000000001E-2</v>
      </c>
      <c r="BJ500">
        <v>0.41411700000000001</v>
      </c>
      <c r="BK500">
        <v>0.1398269</v>
      </c>
      <c r="BL500">
        <v>2.4427970999999999</v>
      </c>
      <c r="BM500">
        <v>7.0631786000000002E-2</v>
      </c>
      <c r="BN500">
        <v>0.12201566</v>
      </c>
      <c r="BO500">
        <v>0.79233863999999998</v>
      </c>
      <c r="BP500">
        <v>0.28766299000000001</v>
      </c>
      <c r="BQ500">
        <v>3.5396983999999999E-2</v>
      </c>
      <c r="BR500">
        <v>7.3990262000000001E-2</v>
      </c>
      <c r="BS500">
        <v>2.08454E-2</v>
      </c>
      <c r="BT500">
        <v>1.8790555E-2</v>
      </c>
      <c r="BU500">
        <v>0.10975319</v>
      </c>
      <c r="BV500">
        <v>1.5497357999999999E-2</v>
      </c>
      <c r="BW500">
        <v>0.10341758</v>
      </c>
      <c r="BX500">
        <v>0.21042130000000001</v>
      </c>
      <c r="BY500">
        <v>0.10341758</v>
      </c>
      <c r="BZ500">
        <v>1.5592801999999999</v>
      </c>
      <c r="CA500">
        <v>0.34580077999999997</v>
      </c>
      <c r="CB500">
        <v>0.44495233000000001</v>
      </c>
      <c r="CC500">
        <v>1.5983121999999999E-2</v>
      </c>
      <c r="CD500">
        <v>4.5561369999999997</v>
      </c>
      <c r="CE500">
        <v>4.2325676999999997</v>
      </c>
      <c r="CF500">
        <v>3.2108433999999999</v>
      </c>
      <c r="CG500">
        <v>220.13630000000001</v>
      </c>
      <c r="CH500">
        <v>4.0052047E-2</v>
      </c>
      <c r="CI500">
        <v>4.1552125000000002E-2</v>
      </c>
      <c r="CJ500">
        <v>7.3182729000000002E-2</v>
      </c>
      <c r="CK500">
        <v>0.11999338</v>
      </c>
      <c r="CL500">
        <v>1.4181721999999999E-4</v>
      </c>
      <c r="CM500">
        <v>3.3918354999999998E-4</v>
      </c>
      <c r="CN500">
        <v>2.9290007000000001E-4</v>
      </c>
      <c r="CO500">
        <v>2.2464377E-4</v>
      </c>
      <c r="CP500">
        <v>3.4802221E-4</v>
      </c>
      <c r="CQ500">
        <v>2.6848817999999998E-4</v>
      </c>
      <c r="CR500">
        <v>5.0902385000000001E-3</v>
      </c>
      <c r="CS500">
        <v>2.1454079000000001E-2</v>
      </c>
      <c r="CT500">
        <v>0.79719097999999999</v>
      </c>
      <c r="CU500">
        <v>2.8348933999999999</v>
      </c>
      <c r="CV500">
        <v>0.11782869</v>
      </c>
      <c r="CW500">
        <v>52.613072000000003</v>
      </c>
    </row>
    <row r="501" spans="3:101">
      <c r="C501" t="s">
        <v>1174</v>
      </c>
      <c r="D501" t="s">
        <v>2</v>
      </c>
      <c r="E501">
        <v>462.43072999999998</v>
      </c>
      <c r="F501">
        <v>62.037027999999999</v>
      </c>
      <c r="G501">
        <v>1541.5988</v>
      </c>
      <c r="H501">
        <v>65.949978000000002</v>
      </c>
      <c r="I501">
        <v>67.079882999999995</v>
      </c>
      <c r="J501">
        <v>43.742575000000002</v>
      </c>
      <c r="K501">
        <v>128.76889</v>
      </c>
      <c r="L501">
        <v>14.346621000000001</v>
      </c>
      <c r="M501">
        <v>73.218423999999999</v>
      </c>
      <c r="N501">
        <v>71.842581999999993</v>
      </c>
      <c r="O501">
        <v>0.53821375999999999</v>
      </c>
      <c r="P501">
        <v>1.2299040999999999</v>
      </c>
      <c r="Q501">
        <v>2.4518721999999999</v>
      </c>
      <c r="R501">
        <v>1.7331004000000001</v>
      </c>
      <c r="S501">
        <v>4.1753966</v>
      </c>
      <c r="T501">
        <v>1.7218237999999999</v>
      </c>
      <c r="U501">
        <v>10.696239</v>
      </c>
      <c r="V501">
        <v>10.193040999999999</v>
      </c>
      <c r="W501">
        <v>0</v>
      </c>
      <c r="X501">
        <v>6.8552007000000001</v>
      </c>
      <c r="Y501">
        <v>2.6128086000000001</v>
      </c>
      <c r="Z501">
        <v>6.2154746000000003</v>
      </c>
      <c r="AA501">
        <v>1.9288109</v>
      </c>
      <c r="AB501">
        <v>4.2663700000000002</v>
      </c>
      <c r="AC501">
        <v>14.603213</v>
      </c>
      <c r="AD501">
        <v>0</v>
      </c>
      <c r="AE501">
        <v>1.7000687E-2</v>
      </c>
      <c r="AF501">
        <v>2.8901162000000001E-2</v>
      </c>
      <c r="AG501">
        <v>0</v>
      </c>
      <c r="AH501">
        <v>0.15390965000000001</v>
      </c>
      <c r="AI501">
        <v>0.18913906</v>
      </c>
      <c r="AJ501">
        <v>0.13426722999999999</v>
      </c>
      <c r="AK501">
        <v>9.5351544999999996E-2</v>
      </c>
      <c r="AL501">
        <v>8.8467313000000006E-3</v>
      </c>
      <c r="AM501">
        <v>0</v>
      </c>
      <c r="AN501">
        <v>1.9288109</v>
      </c>
      <c r="AO501">
        <v>120.99751999999999</v>
      </c>
      <c r="AP501">
        <v>41.838968999999999</v>
      </c>
      <c r="AQ501">
        <v>1070.4511</v>
      </c>
      <c r="AR501">
        <v>37751.356</v>
      </c>
      <c r="AS501">
        <v>45.848820000000003</v>
      </c>
      <c r="AT501">
        <v>530.85716000000002</v>
      </c>
      <c r="AU501">
        <v>65.612167999999997</v>
      </c>
      <c r="AV501">
        <v>3.8960192</v>
      </c>
      <c r="AW501">
        <v>84.419741999999999</v>
      </c>
      <c r="AX501">
        <v>906.53426999999999</v>
      </c>
      <c r="AY501">
        <v>10.791852</v>
      </c>
      <c r="AZ501">
        <v>12.210433</v>
      </c>
      <c r="BA501">
        <v>87.210834000000006</v>
      </c>
      <c r="BB501">
        <v>45.584417999999999</v>
      </c>
      <c r="BC501">
        <v>24.768459</v>
      </c>
      <c r="BD501" s="169">
        <v>12.850332999999999</v>
      </c>
      <c r="BE501">
        <v>69.247622000000007</v>
      </c>
      <c r="BF501">
        <v>1.1343425</v>
      </c>
      <c r="BG501">
        <v>3.5880874999999999</v>
      </c>
      <c r="BH501">
        <v>0.90487297</v>
      </c>
      <c r="BI501">
        <v>0.83277308999999999</v>
      </c>
      <c r="BJ501">
        <v>23.957491999999998</v>
      </c>
      <c r="BK501">
        <v>2.9509962000000001</v>
      </c>
      <c r="BL501">
        <v>87.685342000000006</v>
      </c>
      <c r="BM501">
        <v>0.88678751</v>
      </c>
      <c r="BN501">
        <v>7.6259341999999997</v>
      </c>
      <c r="BO501">
        <v>14.643464</v>
      </c>
      <c r="BP501">
        <v>6.1977225999999996</v>
      </c>
      <c r="BQ501">
        <v>0.48569974999999999</v>
      </c>
      <c r="BR501">
        <v>1.3578406000000001</v>
      </c>
      <c r="BS501">
        <v>0.30409921000000001</v>
      </c>
      <c r="BT501">
        <v>0.26308019999999999</v>
      </c>
      <c r="BU501">
        <v>10.122481000000001</v>
      </c>
      <c r="BV501">
        <v>0.88606003</v>
      </c>
      <c r="BW501">
        <v>11.968658</v>
      </c>
      <c r="BX501">
        <v>15.846126</v>
      </c>
      <c r="BY501">
        <v>11.968658</v>
      </c>
      <c r="BZ501">
        <v>34.141800000000003</v>
      </c>
      <c r="CA501">
        <v>13.357424999999999</v>
      </c>
      <c r="CB501">
        <v>24.927468999999999</v>
      </c>
      <c r="CC501">
        <v>1.5551044999999999</v>
      </c>
      <c r="CD501">
        <v>94.765168000000003</v>
      </c>
      <c r="CE501">
        <v>226.60229000000001</v>
      </c>
      <c r="CF501">
        <v>87.864412999999999</v>
      </c>
      <c r="CG501">
        <v>151.23772</v>
      </c>
      <c r="CH501">
        <v>0.41082925999999997</v>
      </c>
      <c r="CI501">
        <v>0.84369364999999996</v>
      </c>
      <c r="CJ501">
        <v>0.73233307000000003</v>
      </c>
      <c r="CK501">
        <v>0.48447220000000002</v>
      </c>
      <c r="CL501">
        <v>2.5335090000000001E-2</v>
      </c>
      <c r="CM501">
        <v>1.65836E-2</v>
      </c>
      <c r="CN501">
        <v>5.5601169000000002E-3</v>
      </c>
      <c r="CO501">
        <v>2.7637043E-2</v>
      </c>
      <c r="CP501">
        <v>4.8468468000000001E-2</v>
      </c>
      <c r="CQ501">
        <v>2.7121102000000001E-2</v>
      </c>
      <c r="CR501">
        <v>7.8493624999999997E-2</v>
      </c>
      <c r="CS501">
        <v>0.33083094000000002</v>
      </c>
      <c r="CT501">
        <v>12.293021</v>
      </c>
      <c r="CU501">
        <v>1.0683673</v>
      </c>
      <c r="CV501">
        <v>1.8317003999999999</v>
      </c>
      <c r="CW501">
        <v>381.76227</v>
      </c>
    </row>
    <row r="526" spans="60:64">
      <c r="BH526" s="4"/>
      <c r="BJ526" s="4"/>
      <c r="BK526" s="4"/>
      <c r="BL526" s="4"/>
    </row>
    <row r="527" spans="60:64">
      <c r="BH527" s="4"/>
      <c r="BJ527" s="4"/>
      <c r="BK527" s="4"/>
      <c r="BL527" s="4"/>
    </row>
    <row r="538" spans="60:64">
      <c r="BH538" s="4"/>
      <c r="BJ538" s="4"/>
      <c r="BK538" s="4"/>
      <c r="BL538" s="4"/>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3399"/>
    <pageSetUpPr fitToPage="1"/>
  </sheetPr>
  <dimension ref="A1:N20"/>
  <sheetViews>
    <sheetView workbookViewId="0">
      <selection activeCell="A15" sqref="A15"/>
    </sheetView>
  </sheetViews>
  <sheetFormatPr baseColWidth="10" defaultRowHeight="12.75"/>
  <cols>
    <col min="1" max="1" width="44.140625" customWidth="1"/>
    <col min="2" max="2" width="12.7109375" customWidth="1"/>
    <col min="3" max="5" width="11.7109375" bestFit="1" customWidth="1"/>
    <col min="6" max="6" width="12.85546875" bestFit="1" customWidth="1"/>
    <col min="7" max="7" width="11.85546875" bestFit="1" customWidth="1"/>
    <col min="8" max="8" width="12.5703125" bestFit="1" customWidth="1"/>
    <col min="9" max="10" width="11.7109375" bestFit="1" customWidth="1"/>
  </cols>
  <sheetData>
    <row r="1" spans="1:14" s="132" customFormat="1">
      <c r="A1" s="1" t="s">
        <v>29</v>
      </c>
      <c r="B1" s="1"/>
      <c r="C1" s="63">
        <f>MainInput!$A$11</f>
        <v>11</v>
      </c>
      <c r="D1" s="63">
        <f>MainInput!$A$11</f>
        <v>11</v>
      </c>
      <c r="E1" s="63">
        <f>MainInput!$A$11</f>
        <v>11</v>
      </c>
      <c r="F1" s="66">
        <v>94</v>
      </c>
      <c r="G1" s="66">
        <v>74</v>
      </c>
      <c r="H1" s="66">
        <v>94</v>
      </c>
      <c r="I1" s="66">
        <v>94</v>
      </c>
      <c r="J1" s="66">
        <v>74</v>
      </c>
      <c r="K1" s="66">
        <v>74</v>
      </c>
      <c r="L1" s="66">
        <v>74</v>
      </c>
      <c r="M1" s="20">
        <v>46</v>
      </c>
      <c r="N1" s="20">
        <v>20</v>
      </c>
    </row>
    <row r="2" spans="1:14" s="132" customFormat="1" ht="45">
      <c r="A2" s="1"/>
      <c r="B2" s="1"/>
      <c r="C2" s="115" t="str">
        <f>INDEX(menuesBG!$1:$1048576,C1,sprache)</f>
        <v>Outputs of the plant</v>
      </c>
      <c r="D2" s="115" t="str">
        <f>INDEX(menuesBG!$1:$1048576,D1,sprache)</f>
        <v>Outputs of the plant</v>
      </c>
      <c r="E2" s="115" t="str">
        <f>INDEX(menuesBG!$1:$1048576,E1,sprache)</f>
        <v>Outputs of the plant</v>
      </c>
      <c r="F2" s="115" t="str">
        <f>INDEX(menuesBG!$1:$1048576,F1,sprache)</f>
        <v>Use of solid digestate</v>
      </c>
      <c r="G2" s="115" t="str">
        <f>INDEX(menuesBG!$1:$1048576,G1,sprache)</f>
        <v>Use of liquid digestate</v>
      </c>
      <c r="H2" s="115" t="str">
        <f>INDEX(menuesBG!$1:$1048576,H1,sprache)</f>
        <v>Use of solid digestate</v>
      </c>
      <c r="I2" s="115" t="str">
        <f>INDEX(menuesBG!$1:$1048576,I1,sprache)</f>
        <v>Use of solid digestate</v>
      </c>
      <c r="J2" s="115" t="str">
        <f>INDEX(menuesBG!$1:$1048576,J1,sprache)</f>
        <v>Use of liquid digestate</v>
      </c>
      <c r="K2" s="115" t="str">
        <f>INDEX(menuesBG!$1:$1048576,K1,sprache)</f>
        <v>Use of liquid digestate</v>
      </c>
      <c r="L2" s="115" t="str">
        <f>INDEX(menuesBG!$1:$1048576,L1,sprache)</f>
        <v>Use of liquid digestate</v>
      </c>
      <c r="M2" s="115" t="str">
        <f>INDEX(menuesBG!$1:$1048576,M1,sprache)</f>
        <v>Purchased substrates</v>
      </c>
      <c r="N2" s="115" t="str">
        <f>INDEX(menuesBG!$1:$1048576,N1,sprache)</f>
        <v>Direct emissions (e.g. slurry storage, post-rotting)</v>
      </c>
    </row>
    <row r="3" spans="1:14" s="132" customFormat="1">
      <c r="A3" s="1" t="s">
        <v>27</v>
      </c>
      <c r="B3" s="1"/>
      <c r="C3" s="1" cm="1">
        <f t="array" ref="C3">INDEX(MainInput!$1:$1048576,MATCH(C$1,MainInput!$A:$A,0),SpalteEingaben)</f>
        <v>0</v>
      </c>
      <c r="D3" s="1" cm="1">
        <f t="array" ref="D3">INDEX(MainInput!$1:$1048576,MATCH(D$1,MainInput!$A:$A,0),SpalteEingaben)</f>
        <v>0</v>
      </c>
      <c r="E3" s="1" cm="1">
        <f t="array" ref="E3">INDEX(MainInput!$1:$1048576,MATCH(E$1,MainInput!$A:$A,0),SpalteEingaben)</f>
        <v>0</v>
      </c>
      <c r="F3" s="1"/>
      <c r="G3" s="1"/>
      <c r="H3" s="1"/>
      <c r="I3" s="1"/>
      <c r="J3" s="1"/>
      <c r="K3" s="1"/>
      <c r="L3" s="1"/>
      <c r="M3" s="69"/>
      <c r="N3" s="69"/>
    </row>
    <row r="4" spans="1:14" s="132" customFormat="1">
      <c r="A4" s="1" t="s">
        <v>28</v>
      </c>
      <c r="B4" s="1"/>
      <c r="C4" s="1"/>
      <c r="D4" s="1"/>
      <c r="E4" s="1"/>
      <c r="F4" s="1">
        <f>MainInput!$H$88</f>
        <v>0</v>
      </c>
      <c r="G4" s="1">
        <f>MainInput!$H$95</f>
        <v>0</v>
      </c>
      <c r="H4" s="1">
        <f>MainInput!$H$88</f>
        <v>0</v>
      </c>
      <c r="I4" s="1">
        <f>MainInput!$H$88</f>
        <v>0</v>
      </c>
      <c r="J4" s="1">
        <f>MainInput!$H$95</f>
        <v>0</v>
      </c>
      <c r="K4" s="1">
        <f>MainInput!$H$95</f>
        <v>0</v>
      </c>
      <c r="L4" s="1">
        <f>MainInput!$H$95</f>
        <v>0</v>
      </c>
      <c r="M4" s="69"/>
      <c r="N4" s="69"/>
    </row>
    <row r="5" spans="1:14" s="132" customFormat="1">
      <c r="A5" s="1" t="s">
        <v>344</v>
      </c>
      <c r="B5" s="1"/>
      <c r="C5" s="1"/>
      <c r="D5" s="1"/>
      <c r="E5" s="1"/>
      <c r="F5" s="14" t="e" cm="1">
        <f t="array" ref="F5">INDEX(MainInput!$1:$1048576,MATCH(F$1,MainInput!$A:$A,0),SpalteEingaben)*Wechselkurs</f>
        <v>#N/A</v>
      </c>
      <c r="G5" s="14" t="e" cm="1">
        <f t="array" ref="G5">INDEX(MainInput!$1:$1048576,MATCH(G$1,MainInput!$A:$A,0),SpalteEingaben)*Wechselkurs</f>
        <v>#N/A</v>
      </c>
      <c r="H5" s="14" t="e" cm="1">
        <f t="array" ref="H5">INDEX(MainInput!$1:$1048576,MATCH(H$1,MainInput!$A:$A,0),SpalteEingaben)*Wechselkurs</f>
        <v>#N/A</v>
      </c>
      <c r="I5" s="14" t="e" cm="1">
        <f t="array" ref="I5">INDEX(MainInput!$1:$1048576,MATCH(I$1,MainInput!$A:$A,0),SpalteEingaben)*Wechselkurs</f>
        <v>#N/A</v>
      </c>
      <c r="J5" s="14" t="e" cm="1">
        <f t="array" ref="J5">INDEX(MainInput!$1:$1048576,MATCH(J$1,MainInput!$A:$A,0),SpalteEingaben)*Wechselkurs</f>
        <v>#N/A</v>
      </c>
      <c r="K5" s="14" t="e" cm="1">
        <f t="array" ref="K5">INDEX(MainInput!$1:$1048576,MATCH(K$1,MainInput!$A:$A,0),SpalteEingaben)*Wechselkurs</f>
        <v>#N/A</v>
      </c>
      <c r="L5" s="14" t="e" cm="1">
        <f t="array" ref="L5">INDEX(MainInput!$1:$1048576,MATCH(L$1,MainInput!$A:$A,0),SpalteEingaben)*Wechselkurs</f>
        <v>#N/A</v>
      </c>
      <c r="M5" s="69"/>
      <c r="N5" s="69"/>
    </row>
    <row r="6" spans="1:14" s="132" customFormat="1">
      <c r="A6" s="1" t="s">
        <v>345</v>
      </c>
      <c r="B6" s="1"/>
      <c r="C6" s="1"/>
      <c r="D6" s="1"/>
      <c r="E6" s="1"/>
      <c r="F6" s="1"/>
      <c r="G6" s="1"/>
      <c r="H6" s="1"/>
      <c r="I6" s="1"/>
      <c r="J6" s="1"/>
      <c r="K6" s="1"/>
      <c r="L6" s="1"/>
      <c r="M6" s="69"/>
      <c r="N6" s="69"/>
    </row>
    <row r="7" spans="1:14" s="132" customFormat="1">
      <c r="A7" s="1" t="s">
        <v>26</v>
      </c>
      <c r="B7" s="2"/>
      <c r="C7" s="14" t="e">
        <f>IF(Anlagentyp=C12,C3*C13,0)</f>
        <v>#N/A</v>
      </c>
      <c r="D7" s="1" t="e">
        <f>IF(Anlagentyp=D12,D3,0)</f>
        <v>#N/A</v>
      </c>
      <c r="E7" s="14" t="e">
        <f>IF(Anlagentyp=E12,E3,0)+E3*E13</f>
        <v>#N/A</v>
      </c>
      <c r="F7" s="148" t="e">
        <f>IF(AND(Auswahl_Verwendung_fest&lt;3,MainInput!H89&lt;0),F4*-F5/(-F5+F4*CHFGGfest),0)</f>
        <v>#N/A</v>
      </c>
      <c r="G7" s="148" t="e">
        <f>IF(AND(Auswahl_Verwendung_flüssig&lt;5,MainInput!H96&lt;0),(G4-Prüfwert!H4)*-G5/(-G5+CHFGGflüssig*G4),0)</f>
        <v>#N/A</v>
      </c>
      <c r="H7" s="148" t="e">
        <f>IF(Auswahl_Verwendung_fest=H12,H4,0)</f>
        <v>#N/A</v>
      </c>
      <c r="I7" s="148" t="e">
        <f>IF(AND(Auswahl_Verwendung_fest=I12,Preis_Entsorgung_fest&lt;0),I4*(-I5/(-I5+2.77*9.61*I4)),0)</f>
        <v>#N/A</v>
      </c>
      <c r="J7" s="23" t="e">
        <f>IF(Auswahl_Verwendung_flüssig=J12,J4,0)</f>
        <v>#N/A</v>
      </c>
      <c r="K7" s="23" t="e">
        <f>IF(AND(Auswahl_Verwendung_flüssig=K12,L7=0),K4,0)</f>
        <v>#N/A</v>
      </c>
      <c r="L7" s="23" t="e">
        <f>IF(AND(Auswahl_Verwendung_flüssig=L12,Substrates!F124&gt;0),L4,0)</f>
        <v>#N/A</v>
      </c>
      <c r="M7" s="69"/>
      <c r="N7" s="69"/>
    </row>
    <row r="8" spans="1:14" s="132" customFormat="1">
      <c r="A8" s="24" t="s">
        <v>0</v>
      </c>
      <c r="B8" s="68" t="e">
        <f>SUM(C8:N8)</f>
        <v>#N/A</v>
      </c>
      <c r="C8" s="65" t="e">
        <f t="shared" ref="C8:L8" si="0">C16*C7</f>
        <v>#N/A</v>
      </c>
      <c r="D8" s="65" t="e">
        <f t="shared" si="0"/>
        <v>#N/A</v>
      </c>
      <c r="E8" s="65" t="e">
        <f t="shared" si="0"/>
        <v>#N/A</v>
      </c>
      <c r="F8" s="65" t="e">
        <f t="shared" si="0"/>
        <v>#N/A</v>
      </c>
      <c r="G8" s="65" t="e">
        <f t="shared" si="0"/>
        <v>#N/A</v>
      </c>
      <c r="H8" s="65" t="e">
        <f t="shared" si="0"/>
        <v>#N/A</v>
      </c>
      <c r="I8" s="65" t="e">
        <f t="shared" si="0"/>
        <v>#N/A</v>
      </c>
      <c r="J8" s="65" t="e">
        <f t="shared" si="0"/>
        <v>#N/A</v>
      </c>
      <c r="K8" s="65" t="e">
        <f t="shared" si="0"/>
        <v>#N/A</v>
      </c>
      <c r="L8" s="65" t="e">
        <f t="shared" si="0"/>
        <v>#N/A</v>
      </c>
      <c r="M8" s="70"/>
      <c r="N8" s="70" t="e">
        <f>SUM(Substrates!AP146:AV146)</f>
        <v>#N/A</v>
      </c>
    </row>
    <row r="9" spans="1:14" s="132" customFormat="1">
      <c r="A9" s="24" t="str">
        <f>A17</f>
        <v>IPCC GWP 100a</v>
      </c>
      <c r="B9" s="68" t="e">
        <f>SUM(C9:N9)</f>
        <v>#N/A</v>
      </c>
      <c r="C9" s="65" t="e">
        <f t="shared" ref="C9:L9" si="1">C17*C$7</f>
        <v>#N/A</v>
      </c>
      <c r="D9" s="65" t="e">
        <f t="shared" si="1"/>
        <v>#N/A</v>
      </c>
      <c r="E9" s="65" t="e">
        <f t="shared" si="1"/>
        <v>#N/A</v>
      </c>
      <c r="F9" s="65" t="e">
        <f t="shared" si="1"/>
        <v>#N/A</v>
      </c>
      <c r="G9" s="65" t="e">
        <f t="shared" si="1"/>
        <v>#N/A</v>
      </c>
      <c r="H9" s="65" t="e">
        <f t="shared" si="1"/>
        <v>#N/A</v>
      </c>
      <c r="I9" s="65" t="e">
        <f t="shared" si="1"/>
        <v>#N/A</v>
      </c>
      <c r="J9" s="65" t="e">
        <f t="shared" si="1"/>
        <v>#N/A</v>
      </c>
      <c r="K9" s="65" t="e">
        <f t="shared" si="1"/>
        <v>#N/A</v>
      </c>
      <c r="L9" s="65" t="e">
        <f t="shared" si="1"/>
        <v>#N/A</v>
      </c>
      <c r="M9" s="70">
        <f>Substrates!AX147</f>
        <v>0</v>
      </c>
      <c r="N9" s="70" t="e">
        <f>SUM(Substrates!AP147:AV147)</f>
        <v>#N/A</v>
      </c>
    </row>
    <row r="10" spans="1:14" s="132" customFormat="1">
      <c r="A10" s="24" t="str">
        <f>A18</f>
        <v>Cumulative Energy Demand, differenziert V1.04 / CED, non-renewable</v>
      </c>
      <c r="B10" s="68" t="e">
        <f>SUM(C10:N10)</f>
        <v>#N/A</v>
      </c>
      <c r="C10" s="65" t="e">
        <f t="shared" ref="C10:L10" si="2">C18*C$7</f>
        <v>#N/A</v>
      </c>
      <c r="D10" s="65" t="e">
        <f t="shared" si="2"/>
        <v>#N/A</v>
      </c>
      <c r="E10" s="65" t="e">
        <f t="shared" si="2"/>
        <v>#N/A</v>
      </c>
      <c r="F10" s="65" t="e">
        <f t="shared" si="2"/>
        <v>#N/A</v>
      </c>
      <c r="G10" s="65" t="e">
        <f t="shared" si="2"/>
        <v>#N/A</v>
      </c>
      <c r="H10" s="65" t="e">
        <f t="shared" si="2"/>
        <v>#N/A</v>
      </c>
      <c r="I10" s="65" t="e">
        <f t="shared" si="2"/>
        <v>#N/A</v>
      </c>
      <c r="J10" s="65" t="e">
        <f t="shared" si="2"/>
        <v>#N/A</v>
      </c>
      <c r="K10" s="65" t="e">
        <f t="shared" si="2"/>
        <v>#N/A</v>
      </c>
      <c r="L10" s="65" t="e">
        <f t="shared" si="2"/>
        <v>#N/A</v>
      </c>
      <c r="M10" s="70">
        <f>Substrates!AX148</f>
        <v>0</v>
      </c>
      <c r="N10" s="70" t="e">
        <f>SUM(Substrates!AP148:AV148)</f>
        <v>#N/A</v>
      </c>
    </row>
    <row r="11" spans="1:14" s="132" customFormat="1">
      <c r="A11" s="24" t="str">
        <f>A19</f>
        <v>Ecological Scarcity 2013, categories, res. cor. V1.03 / Ecological scarcity 2013</v>
      </c>
      <c r="B11" s="68" t="e">
        <f>SUM(C11:N11)</f>
        <v>#N/A</v>
      </c>
      <c r="C11" s="65" t="e">
        <f t="shared" ref="C11:L11" si="3">C19*C$7</f>
        <v>#N/A</v>
      </c>
      <c r="D11" s="65" t="e">
        <f t="shared" si="3"/>
        <v>#N/A</v>
      </c>
      <c r="E11" s="65" t="e">
        <f t="shared" si="3"/>
        <v>#N/A</v>
      </c>
      <c r="F11" s="65" t="e">
        <f t="shared" si="3"/>
        <v>#N/A</v>
      </c>
      <c r="G11" s="65" t="e">
        <f t="shared" si="3"/>
        <v>#N/A</v>
      </c>
      <c r="H11" s="65" t="e">
        <f t="shared" si="3"/>
        <v>#N/A</v>
      </c>
      <c r="I11" s="65" t="e">
        <f t="shared" si="3"/>
        <v>#N/A</v>
      </c>
      <c r="J11" s="65" t="e">
        <f t="shared" si="3"/>
        <v>#N/A</v>
      </c>
      <c r="K11" s="65" t="e">
        <f t="shared" si="3"/>
        <v>#N/A</v>
      </c>
      <c r="L11" s="65" t="e">
        <f t="shared" si="3"/>
        <v>#N/A</v>
      </c>
      <c r="M11" s="70">
        <f>Substrates!AX149</f>
        <v>0</v>
      </c>
      <c r="N11" s="70" t="e">
        <f>SUM(Substrates!AP149:AV149)</f>
        <v>#N/A</v>
      </c>
    </row>
    <row r="12" spans="1:14" s="132" customFormat="1">
      <c r="A12" s="1"/>
      <c r="B12" s="1"/>
      <c r="C12" s="1">
        <v>1</v>
      </c>
      <c r="D12" s="1">
        <v>2</v>
      </c>
      <c r="E12" s="1">
        <v>3</v>
      </c>
      <c r="F12" s="1"/>
      <c r="G12" s="1"/>
      <c r="H12" s="1">
        <v>4</v>
      </c>
      <c r="I12" s="1">
        <v>3</v>
      </c>
      <c r="J12" s="1">
        <v>5</v>
      </c>
      <c r="K12" s="1">
        <v>6</v>
      </c>
      <c r="L12" s="1">
        <v>6</v>
      </c>
      <c r="M12" s="69"/>
      <c r="N12" s="69"/>
    </row>
    <row r="13" spans="1:14" s="132" customFormat="1">
      <c r="A13" s="387">
        <v>44166</v>
      </c>
      <c r="B13" s="1"/>
      <c r="C13" s="276" t="e">
        <f>IF(AnteilKoSubstrat&gt;20%,1-AnteilKoSubstrat,1)</f>
        <v>#DIV/0!</v>
      </c>
      <c r="D13" s="1"/>
      <c r="E13" s="276" t="e">
        <f>IF(Anlagentyp=C12,1-C13,0)</f>
        <v>#N/A</v>
      </c>
      <c r="F13" s="1"/>
      <c r="G13" s="1"/>
      <c r="H13" s="1"/>
      <c r="I13" s="1"/>
      <c r="J13" s="1"/>
      <c r="K13" s="1"/>
      <c r="L13" s="1"/>
      <c r="M13" s="69"/>
      <c r="N13" s="69"/>
    </row>
    <row r="14" spans="1:14" s="132" customFormat="1">
      <c r="A14" s="277"/>
      <c r="B14" s="1"/>
      <c r="C14"/>
      <c r="D14"/>
      <c r="E14"/>
      <c r="F14" s="578"/>
      <c r="G14"/>
      <c r="H14" s="337"/>
      <c r="I14"/>
      <c r="J14"/>
      <c r="K14" s="69"/>
      <c r="L14" s="69"/>
      <c r="M14" s="69"/>
      <c r="N14"/>
    </row>
    <row r="15" spans="1:14" s="942" customFormat="1" ht="127.5">
      <c r="A15" s="3" t="s">
        <v>537</v>
      </c>
      <c r="B15" s="3" t="s">
        <v>533</v>
      </c>
      <c r="C15" s="558" t="s">
        <v>929</v>
      </c>
      <c r="D15" s="558" t="s">
        <v>10</v>
      </c>
      <c r="E15" s="558" t="s">
        <v>930</v>
      </c>
      <c r="F15" s="558" t="s">
        <v>303</v>
      </c>
      <c r="G15" s="558" t="s">
        <v>304</v>
      </c>
      <c r="H15" s="558" t="s">
        <v>976</v>
      </c>
      <c r="I15" s="558" t="s">
        <v>370</v>
      </c>
      <c r="J15" s="558" t="s">
        <v>365</v>
      </c>
      <c r="K15" s="558" t="s">
        <v>952</v>
      </c>
      <c r="L15" s="558" t="s">
        <v>1661</v>
      </c>
      <c r="M15" s="71" t="str">
        <f>INDEX(menuesBG!$1:$1048576,M1,sprache)</f>
        <v>Purchased substrates</v>
      </c>
      <c r="N15" s="71" t="str">
        <f>INDEX(menuesBG!$1:$1048576,$N1,sprache)</f>
        <v>Direct emissions (e.g. slurry storage, post-rotting)</v>
      </c>
    </row>
    <row r="16" spans="1:14" s="132" customFormat="1">
      <c r="A16" s="335" t="s">
        <v>0</v>
      </c>
      <c r="B16" s="1" t="s">
        <v>2</v>
      </c>
      <c r="C16" s="926" cm="1">
        <f t="array" ref="C16">INDEX(SimaPro!$1:$1048576,SimaProEI99,MATCH(C$15,SimaPro!$1:$1,0))</f>
        <v>1.1202814999999999</v>
      </c>
      <c r="D16" s="926" cm="1">
        <f t="array" ref="D16">INDEX(SimaPro!$1:$1048576,SimaProEI99,MATCH(D$15,SimaPro!$1:$1,0))</f>
        <v>0.22316032999999999</v>
      </c>
      <c r="E16" s="865" cm="1">
        <f t="array" ref="E16">INDEX(SimaPro!$1:$1048576,SimaProEI99,MATCH(E15,SimaPro!$1:$1,0))</f>
        <v>3.8709558999999998</v>
      </c>
      <c r="F16" s="865" cm="1">
        <f t="array" ref="F16">INDEX(SimaPro!$1:$1048576,SimaProEI99,MATCH(F15,SimaPro!$1:$1,0))</f>
        <v>55.835211999999999</v>
      </c>
      <c r="G16" s="865" cm="1">
        <f t="array" ref="G16">INDEX(SimaPro!$1:$1048576,SimaProEI99,MATCH(G15,SimaPro!$1:$1,0))</f>
        <v>56.857430999999998</v>
      </c>
      <c r="H16" s="865" cm="1">
        <f t="array" ref="H16">INDEX(SimaPro!$1:$1048576,SimaProEI99,MATCH(H15,SimaPro!$1:$1,0))</f>
        <v>5.9220683999999997</v>
      </c>
      <c r="I16" s="865" cm="1">
        <f t="array" ref="I16">INDEX(SimaPro!$1:$1048576,SimaProEI99,MATCH(I15,SimaPro!$1:$1,0))</f>
        <v>59.342305000000003</v>
      </c>
      <c r="J16" s="865" cm="1">
        <f t="array" ref="J16">INDEX(SimaPro!$1:$1048576,SimaProEI99,MATCH(J15,SimaPro!$1:$1,0))</f>
        <v>5.1576711999999997E-2</v>
      </c>
      <c r="K16" s="865" cm="1">
        <f t="array" ref="K16">INDEX(SimaPro!$1:$1048576,SimaProEI99,MATCH(K15,SimaPro!$1:$1,0))</f>
        <v>0.21488636999999999</v>
      </c>
      <c r="L16" s="865" cm="1">
        <f t="array" ref="L16">INDEX(SimaPro!$1:$1048576,SimaProEI99,MATCH(L15,SimaPro!$1:$1,0))</f>
        <v>3.1186946E-2</v>
      </c>
      <c r="M16" s="69"/>
      <c r="N16" s="69"/>
    </row>
    <row r="17" spans="1:14" s="132" customFormat="1">
      <c r="A17" s="1" t="s">
        <v>40</v>
      </c>
      <c r="B17" s="1" t="s">
        <v>41</v>
      </c>
      <c r="C17" s="926" cm="1">
        <f t="array" ref="C17">INDEX(SimaPro!$1:$1048576,SimaProGWP,MATCH(C$15,SimaPro!$1:$1,0))</f>
        <v>9.6459115999999998</v>
      </c>
      <c r="D17" s="926" cm="1">
        <f t="array" ref="D17">INDEX(SimaPro!$1:$1048576,SimaProGWP,MATCH(D$15,SimaPro!$1:$1,0))</f>
        <v>2.0817703000000001</v>
      </c>
      <c r="E17" s="926" cm="1">
        <f t="array" ref="E17">INDEX(SimaPro!$1:$1048576,SimaProGWP,MATCH(E$15,SimaPro!$1:$1,0))</f>
        <v>41.245741000000002</v>
      </c>
      <c r="F17" s="926" cm="1">
        <f t="array" ref="F17">INDEX(SimaPro!$1:$1048576,SimaProGWP,MATCH(F$15,SimaPro!$1:$1,0))</f>
        <v>3.4506383999999999</v>
      </c>
      <c r="G17" s="926" cm="1">
        <f t="array" ref="G17">INDEX(SimaPro!$1:$1048576,SimaProGWP,MATCH(G$15,SimaPro!$1:$1,0))</f>
        <v>1.322713</v>
      </c>
      <c r="H17" s="926" cm="1">
        <f t="array" ref="H17">INDEX(SimaPro!$1:$1048576,SimaProGWP,MATCH(H$15,SimaPro!$1:$1,0))</f>
        <v>53.293982</v>
      </c>
      <c r="I17" s="926" cm="1">
        <f t="array" ref="I17">INDEX(SimaPro!$1:$1048576,SimaProGWP,MATCH(I$15,SimaPro!$1:$1,0))</f>
        <v>83.806855999999996</v>
      </c>
      <c r="J17" s="926" cm="1">
        <f t="array" ref="J17">INDEX(SimaPro!$1:$1048576,SimaProGWP,MATCH(J$15,SimaPro!$1:$1,0))</f>
        <v>0.43343807000000001</v>
      </c>
      <c r="K17" s="926" cm="1">
        <f t="array" ref="K17">INDEX(SimaPro!$1:$1048576,SimaProGWP,MATCH(K$15,SimaPro!$1:$1,0))</f>
        <v>2.8380448</v>
      </c>
      <c r="L17" s="926" cm="1">
        <f t="array" ref="L17">INDEX(SimaPro!$1:$1048576,SimaProGWP,MATCH(L$15,SimaPro!$1:$1,0))</f>
        <v>0.49922933000000003</v>
      </c>
      <c r="M17" s="69"/>
      <c r="N17" s="69"/>
    </row>
    <row r="18" spans="1:14" s="132" customFormat="1">
      <c r="A18" s="24" t="s">
        <v>602</v>
      </c>
      <c r="B18" s="1" t="s">
        <v>603</v>
      </c>
      <c r="C18" s="926" cm="1">
        <f t="array" ref="C18">INDEX(SimaPro!$1:$1048576,SimaProCED,MATCH(C$15,SimaPro!$1:$1,0))</f>
        <v>113.85905</v>
      </c>
      <c r="D18" s="926" cm="1">
        <f t="array" ref="D18">INDEX(SimaPro!$1:$1048576,SimaProCED,MATCH(D$15,SimaPro!$1:$1,0))</f>
        <v>18.377621999999999</v>
      </c>
      <c r="E18" s="926" cm="1">
        <f t="array" ref="E18">INDEX(SimaPro!$1:$1048576,SimaProCED,MATCH(E$15,SimaPro!$1:$1,0))</f>
        <v>490.07040000000001</v>
      </c>
      <c r="F18" s="926" cm="1">
        <f t="array" ref="F18">INDEX(SimaPro!$1:$1048576,SimaProCED,MATCH(F$15,SimaPro!$1:$1,0))</f>
        <v>49.862819999999999</v>
      </c>
      <c r="G18" s="926" cm="1">
        <f t="array" ref="G18">INDEX(SimaPro!$1:$1048576,SimaProCED,MATCH(G$15,SimaPro!$1:$1,0))</f>
        <v>19.017469999999999</v>
      </c>
      <c r="H18" s="926" cm="1">
        <f t="array" ref="H18">INDEX(SimaPro!$1:$1048576,SimaProCED,MATCH(H$15,SimaPro!$1:$1,0))</f>
        <v>419.26762000000002</v>
      </c>
      <c r="I18" s="926" cm="1">
        <f t="array" ref="I18">INDEX(SimaPro!$1:$1048576,SimaProCED,MATCH(I$15,SimaPro!$1:$1,0))</f>
        <v>2328.4213</v>
      </c>
      <c r="J18" s="926" cm="1">
        <f t="array" ref="J18">INDEX(SimaPro!$1:$1048576,SimaProCED,MATCH(J$15,SimaPro!$1:$1,0))</f>
        <v>5.3151238000000003</v>
      </c>
      <c r="K18" s="926" cm="1">
        <f t="array" ref="K18">INDEX(SimaPro!$1:$1048576,SimaProCED,MATCH(K$15,SimaPro!$1:$1,0))</f>
        <v>43.467542000000002</v>
      </c>
      <c r="L18" s="926" cm="1">
        <f t="array" ref="L18">INDEX(SimaPro!$1:$1048576,SimaProCED,MATCH(L$15,SimaPro!$1:$1,0))</f>
        <v>6.6762002999999996</v>
      </c>
      <c r="M18" s="69"/>
      <c r="N18" s="69"/>
    </row>
    <row r="19" spans="1:14" s="132" customFormat="1">
      <c r="A19" s="24" t="s">
        <v>1680</v>
      </c>
      <c r="B19" s="1" t="s">
        <v>2</v>
      </c>
      <c r="C19" s="927" cm="1">
        <f t="array" ref="C19">INDEX(SimaPro!$1:$1048576,SimaProUBP,MATCH(C$15,SimaPro!$1:$1,0))</f>
        <v>15026.188</v>
      </c>
      <c r="D19" s="927" cm="1">
        <f t="array" ref="D19">INDEX(SimaPro!$1:$1048576,SimaProUBP,MATCH(D$15,SimaPro!$1:$1,0))</f>
        <v>3040.6156000000001</v>
      </c>
      <c r="E19" s="927" cm="1">
        <f t="array" ref="E19">INDEX(SimaPro!$1:$1048576,SimaProUBP,MATCH(E$15,SimaPro!$1:$1,0))</f>
        <v>75918.672999999995</v>
      </c>
      <c r="F19" s="927" cm="1">
        <f t="array" ref="F19">INDEX(SimaPro!$1:$1048576,SimaProUBP,MATCH(F$15,SimaPro!$1:$1,0))</f>
        <v>1168190.8</v>
      </c>
      <c r="G19" s="927" cm="1">
        <f t="array" ref="G19">INDEX(SimaPro!$1:$1048576,SimaProUBP,MATCH(G$15,SimaPro!$1:$1,0))</f>
        <v>1192349.8999999999</v>
      </c>
      <c r="H19" s="927" cm="1">
        <f t="array" ref="H19">INDEX(SimaPro!$1:$1048576,SimaProUBP,MATCH(H$15,SimaPro!$1:$1,0))</f>
        <v>86913.172000000006</v>
      </c>
      <c r="I19" s="927" cm="1">
        <f t="array" ref="I19">INDEX(SimaPro!$1:$1048576,SimaProUBP,MATCH(I$15,SimaPro!$1:$1,0))</f>
        <v>1641491.2</v>
      </c>
      <c r="J19" s="927" cm="1">
        <f t="array" ref="J19">INDEX(SimaPro!$1:$1048576,SimaProUBP,MATCH(J$15,SimaPro!$1:$1,0))</f>
        <v>3905.1736000000001</v>
      </c>
      <c r="K19" s="927" cm="1">
        <f t="array" ref="K19">INDEX(SimaPro!$1:$1048576,SimaProUBP,MATCH(K$15,SimaPro!$1:$1,0))</f>
        <v>28269.486000000001</v>
      </c>
      <c r="L19" s="927" cm="1">
        <f t="array" ref="L19">INDEX(SimaPro!$1:$1048576,SimaProUBP,MATCH(L$15,SimaPro!$1:$1,0))</f>
        <v>1975.2331999999999</v>
      </c>
      <c r="M19" s="1"/>
      <c r="N19" s="1"/>
    </row>
    <row r="20" spans="1:14" s="132" customFormat="1">
      <c r="A20"/>
      <c r="B20"/>
      <c r="C20"/>
      <c r="D20"/>
      <c r="E20"/>
      <c r="F20"/>
      <c r="G20"/>
      <c r="H20"/>
      <c r="I20"/>
      <c r="J20"/>
      <c r="K20"/>
      <c r="L20"/>
      <c r="M20"/>
      <c r="N20"/>
    </row>
  </sheetData>
  <phoneticPr fontId="0" type="noConversion"/>
  <pageMargins left="0.78740157499999996" right="0.78740157499999996" top="0.984251969" bottom="0.984251969" header="0.4921259845" footer="0.4921259845"/>
  <pageSetup paperSize="9" scale="66" orientation="landscape" r:id="rId1"/>
  <headerFooter alignWithMargins="0">
    <oddHeader>&amp;F</oddHeader>
    <oddFooter>&amp;L&amp;B Vertraulich&amp;B&amp;C&amp;D&amp;RSeite &amp;P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5A15FA484829047B820081C13B776B8" ma:contentTypeVersion="13" ma:contentTypeDescription="Ein neues Dokument erstellen." ma:contentTypeScope="" ma:versionID="318e18ccfe8011bf8ce3ad466195652d">
  <xsd:schema xmlns:xsd="http://www.w3.org/2001/XMLSchema" xmlns:xs="http://www.w3.org/2001/XMLSchema" xmlns:p="http://schemas.microsoft.com/office/2006/metadata/properties" xmlns:ns3="1bc1164a-806e-45a7-95cb-103683b17389" xmlns:ns4="17f7b99e-3073-4234-923b-c107e6d3b015" targetNamespace="http://schemas.microsoft.com/office/2006/metadata/properties" ma:root="true" ma:fieldsID="0f3cdb6bae01d85022154b03cd9e5696" ns3:_="" ns4:_="">
    <xsd:import namespace="1bc1164a-806e-45a7-95cb-103683b17389"/>
    <xsd:import namespace="17f7b99e-3073-4234-923b-c107e6d3b01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1164a-806e-45a7-95cb-103683b17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f7b99e-3073-4234-923b-c107e6d3b015"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SharingHintHash" ma:index="18"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63F211-E69B-449E-977E-A7FEEFCF469E}">
  <ds:schemaRefs>
    <ds:schemaRef ds:uri="1bc1164a-806e-45a7-95cb-103683b17389"/>
    <ds:schemaRef ds:uri="http://schemas.openxmlformats.org/package/2006/metadata/core-properties"/>
    <ds:schemaRef ds:uri="http://purl.org/dc/elements/1.1/"/>
    <ds:schemaRef ds:uri="http://schemas.microsoft.com/office/2006/documentManagement/types"/>
    <ds:schemaRef ds:uri="http://purl.org/dc/dcmitype/"/>
    <ds:schemaRef ds:uri="http://schemas.microsoft.com/office/infopath/2007/PartnerControls"/>
    <ds:schemaRef ds:uri="17f7b99e-3073-4234-923b-c107e6d3b015"/>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4E42E410-0415-468D-8062-FE85DAD8509F}">
  <ds:schemaRefs>
    <ds:schemaRef ds:uri="http://schemas.microsoft.com/sharepoint/v3/contenttype/forms"/>
  </ds:schemaRefs>
</ds:datastoreItem>
</file>

<file path=customXml/itemProps3.xml><?xml version="1.0" encoding="utf-8"?>
<ds:datastoreItem xmlns:ds="http://schemas.openxmlformats.org/officeDocument/2006/customXml" ds:itemID="{DE8CBF92-422E-40DF-93BB-F5267F2C4C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c1164a-806e-45a7-95cb-103683b17389"/>
    <ds:schemaRef ds:uri="17f7b99e-3073-4234-923b-c107e6d3b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91</vt:i4>
      </vt:variant>
    </vt:vector>
  </HeadingPairs>
  <TitlesOfParts>
    <vt:vector size="119" baseType="lpstr">
      <vt:lpstr>Info</vt:lpstr>
      <vt:lpstr>MainInput</vt:lpstr>
      <vt:lpstr>Substrates</vt:lpstr>
      <vt:lpstr>Results</vt:lpstr>
      <vt:lpstr>Plant types</vt:lpstr>
      <vt:lpstr>OwnCalculations</vt:lpstr>
      <vt:lpstr>EPD</vt:lpstr>
      <vt:lpstr>SimaPro</vt:lpstr>
      <vt:lpstr>LCIAbg</vt:lpstr>
      <vt:lpstr>InputsBG</vt:lpstr>
      <vt:lpstr>menuesBG</vt:lpstr>
      <vt:lpstr>Prüfwert</vt:lpstr>
      <vt:lpstr>DirekteEmissionen</vt:lpstr>
      <vt:lpstr>ReferenzKombi</vt:lpstr>
      <vt:lpstr>UmweltdeklarationBM</vt:lpstr>
      <vt:lpstr>PrüfungBM</vt:lpstr>
      <vt:lpstr>intro</vt:lpstr>
      <vt:lpstr>X-Exchange</vt:lpstr>
      <vt:lpstr>X-Process</vt:lpstr>
      <vt:lpstr>X-Source</vt:lpstr>
      <vt:lpstr>X-Person</vt:lpstr>
      <vt:lpstr>LCIAbm</vt:lpstr>
      <vt:lpstr>Kompost</vt:lpstr>
      <vt:lpstr>Fischabfälle</vt:lpstr>
      <vt:lpstr>FaktorenBG</vt:lpstr>
      <vt:lpstr>Glyzerin</vt:lpstr>
      <vt:lpstr>menuesBM</vt:lpstr>
      <vt:lpstr>Strommix34</vt:lpstr>
      <vt:lpstr>AddOnName</vt:lpstr>
      <vt:lpstr>Anlagentyp</vt:lpstr>
      <vt:lpstr>Anteil_V_fest</vt:lpstr>
      <vt:lpstr>Anteil_V_flüssig</vt:lpstr>
      <vt:lpstr>AnteilKoSubstrat</vt:lpstr>
      <vt:lpstr>AnteilNH3Lagerung</vt:lpstr>
      <vt:lpstr>Auswahl_Behandlung_fest</vt:lpstr>
      <vt:lpstr>Auswahl_Behandlung_flüssig</vt:lpstr>
      <vt:lpstr>Auswahl_Verwendung_fest</vt:lpstr>
      <vt:lpstr>Auswahl_Verwendung_flüssig</vt:lpstr>
      <vt:lpstr>Belastung_Substrat</vt:lpstr>
      <vt:lpstr>BHKW</vt:lpstr>
      <vt:lpstr>BHKWbm</vt:lpstr>
      <vt:lpstr>CH4_GärgutFestLager_Standard</vt:lpstr>
      <vt:lpstr>CH4_Gehalt</vt:lpstr>
      <vt:lpstr>CH4_nichtabgedeckt</vt:lpstr>
      <vt:lpstr>CH4inBG</vt:lpstr>
      <vt:lpstr>CHFGGfest</vt:lpstr>
      <vt:lpstr>CHFGGflüssig</vt:lpstr>
      <vt:lpstr>CHFkompost</vt:lpstr>
      <vt:lpstr>DKKchf</vt:lpstr>
      <vt:lpstr>EPD!Druckbereich</vt:lpstr>
      <vt:lpstr>intro!Druckbereich</vt:lpstr>
      <vt:lpstr>MainInput!Druckbereich</vt:lpstr>
      <vt:lpstr>PrüfungBM!Druckbereich</vt:lpstr>
      <vt:lpstr>UmweltdeklarationBM!Druckbereich</vt:lpstr>
      <vt:lpstr>'X-Exchange'!Druckbereich</vt:lpstr>
      <vt:lpstr>'X-Process'!Druckbereich</vt:lpstr>
      <vt:lpstr>Durchschnitt</vt:lpstr>
      <vt:lpstr>EinnahmeSubstratEntsorgung</vt:lpstr>
      <vt:lpstr>entry</vt:lpstr>
      <vt:lpstr>Euro</vt:lpstr>
      <vt:lpstr>Faktor_CH4</vt:lpstr>
      <vt:lpstr>Faktor_CH4_flüssig</vt:lpstr>
      <vt:lpstr>Faktor_N2O_Ausbringung</vt:lpstr>
      <vt:lpstr>Faktor_N2O_Behandlung</vt:lpstr>
      <vt:lpstr>Faktor_N2O_GülleBehandlung</vt:lpstr>
      <vt:lpstr>Faktor_N2O_V_fest</vt:lpstr>
      <vt:lpstr>Faktor_N2O_V_flüssig</vt:lpstr>
      <vt:lpstr>Faktor_NH3_Ausbringung</vt:lpstr>
      <vt:lpstr>Faktor_NH3_Behandlung</vt:lpstr>
      <vt:lpstr>Faktor_NH3fest_aus</vt:lpstr>
      <vt:lpstr>FaktorNH3GülleBehandlung</vt:lpstr>
      <vt:lpstr>FaktorTrocknungKS</vt:lpstr>
      <vt:lpstr>Gärgut_fest</vt:lpstr>
      <vt:lpstr>GärrestFestMenge</vt:lpstr>
      <vt:lpstr>GärrestFlüssigMenge</vt:lpstr>
      <vt:lpstr>GärrestTotal</vt:lpstr>
      <vt:lpstr>Gasertrag_berechnet</vt:lpstr>
      <vt:lpstr>GlobalesKriteriumBM</vt:lpstr>
      <vt:lpstr>HUFchf</vt:lpstr>
      <vt:lpstr>HUFeuro</vt:lpstr>
      <vt:lpstr>Humus_C</vt:lpstr>
      <vt:lpstr>MengeKlärschlamm</vt:lpstr>
      <vt:lpstr>MittlererPreis</vt:lpstr>
      <vt:lpstr>N2O_Gülle</vt:lpstr>
      <vt:lpstr>N2O_Kompost</vt:lpstr>
      <vt:lpstr>name</vt:lpstr>
      <vt:lpstr>nameBM</vt:lpstr>
      <vt:lpstr>names</vt:lpstr>
      <vt:lpstr>namestest</vt:lpstr>
      <vt:lpstr>NH3_Lager</vt:lpstr>
      <vt:lpstr>NH3emittiert</vt:lpstr>
      <vt:lpstr>NH3plus</vt:lpstr>
      <vt:lpstr>NH3plusAusbringung</vt:lpstr>
      <vt:lpstr>Preis_Entsorgung</vt:lpstr>
      <vt:lpstr>Preis_Entsorgung_fest</vt:lpstr>
      <vt:lpstr>Preis_Entsorgung_flüssig</vt:lpstr>
      <vt:lpstr>Preis_EntsorgungBM</vt:lpstr>
      <vt:lpstr>Referenz_CH4_Güllelager</vt:lpstr>
      <vt:lpstr>Referenz_N2O_Gülle</vt:lpstr>
      <vt:lpstr>Referenz_NH3_Gülle</vt:lpstr>
      <vt:lpstr>SheetNames</vt:lpstr>
      <vt:lpstr>SimaProCED</vt:lpstr>
      <vt:lpstr>SimaProEI99</vt:lpstr>
      <vt:lpstr>SimaProGWP</vt:lpstr>
      <vt:lpstr>SimaProUBP</vt:lpstr>
      <vt:lpstr>source</vt:lpstr>
      <vt:lpstr>SpalteEingaben</vt:lpstr>
      <vt:lpstr>SpalteEnergie</vt:lpstr>
      <vt:lpstr>sprache</vt:lpstr>
      <vt:lpstr>Standort</vt:lpstr>
      <vt:lpstr>StandortCode</vt:lpstr>
      <vt:lpstr>TextEPD</vt:lpstr>
      <vt:lpstr>tkm_lkw</vt:lpstr>
      <vt:lpstr>tkm_outputs</vt:lpstr>
      <vt:lpstr>tkm_traktor</vt:lpstr>
      <vt:lpstr>validator</vt:lpstr>
      <vt:lpstr>Währung</vt:lpstr>
      <vt:lpstr>Warnung</vt:lpstr>
      <vt:lpstr>Wechselkurs</vt:lpstr>
    </vt:vector>
  </TitlesOfParts>
  <Company>ESU-services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naturemade Star Prüfung: Energieprodukte aus Biogasanlagen</dc:title>
  <dc:creator>Niels Jungbluth</dc:creator>
  <cp:keywords>Kennwertmodell, KWM, naturemade, Biogas</cp:keywords>
  <dc:description>Erstellt durch ESU-services GmbH, Schaffhausen</dc:description>
  <cp:lastModifiedBy>Maria Camacho</cp:lastModifiedBy>
  <cp:lastPrinted>2021-02-16T14:36:51Z</cp:lastPrinted>
  <dcterms:created xsi:type="dcterms:W3CDTF">2008-10-03T05:39:11Z</dcterms:created>
  <dcterms:modified xsi:type="dcterms:W3CDTF">2021-03-30T10:01:55Z</dcterms:modified>
</cp:coreProperties>
</file>