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7"/>
  <workbookPr autoCompressPictures="0"/>
  <mc:AlternateContent xmlns:mc="http://schemas.openxmlformats.org/markup-compatibility/2006">
    <mc:Choice Requires="x15">
      <x15ac:absPath xmlns:x15ac="http://schemas.microsoft.com/office/spreadsheetml/2010/11/ac" url="P:\Naturemade\Zertifizierungen\Energiesysteme\KVA_Recycling_naturemade resources star\Ökobilanz, KWM\KWM\"/>
    </mc:Choice>
  </mc:AlternateContent>
  <xr:revisionPtr revIDLastSave="0" documentId="13_ncr:1_{2902D302-CB87-4B27-898D-FCD299A68033}" xr6:coauthVersionLast="36" xr6:coauthVersionMax="36" xr10:uidLastSave="{00000000-0000-0000-0000-000000000000}"/>
  <workbookProtection workbookPassword="862F" lockStructure="1"/>
  <bookViews>
    <workbookView xWindow="0" yWindow="0" windowWidth="19200" windowHeight="7140" xr2:uid="{00000000-000D-0000-FFFF-FFFF00000000}"/>
  </bookViews>
  <sheets>
    <sheet name="Info" sheetId="5" r:id="rId1"/>
    <sheet name="Eingabe" sheetId="4" r:id="rId2"/>
    <sheet name="Ergebnis" sheetId="9" r:id="rId3"/>
    <sheet name="Umweltdeklaration" sheetId="6" r:id="rId4"/>
    <sheet name="LCIA" sheetId="2" state="hidden" r:id="rId5"/>
    <sheet name="Prüfwert" sheetId="3" state="hidden" r:id="rId6"/>
    <sheet name="Ergebnis pro Tonne" sheetId="10" r:id="rId7"/>
  </sheets>
  <definedNames>
    <definedName name="_xlnm._FilterDatabase" localSheetId="6" hidden="1">#REF!</definedName>
    <definedName name="_xlnm._FilterDatabase" hidden="1">#REF!</definedName>
    <definedName name="altholzverbrennung" localSheetId="6">Eingabe!#REF!</definedName>
    <definedName name="altholzverbrennung">Eingabe!#REF!</definedName>
    <definedName name="Anlagengrösse" localSheetId="6">Eingabe!#REF!</definedName>
    <definedName name="Anlagengrösse">Eingabe!#REF!</definedName>
    <definedName name="Anlagentyp">Eingabe!$E$8</definedName>
    <definedName name="Auswahl_Behandlung_fest" localSheetId="6">Eingabe!#REF!</definedName>
    <definedName name="Auswahl_Behandlung_fest">Eingabe!#REF!</definedName>
    <definedName name="_xlnm.Print_Area" localSheetId="1">Eingabe!$B$2:$F$67</definedName>
    <definedName name="Gärgut_fest" localSheetId="6">Eingabe!#REF!</definedName>
    <definedName name="Gärgut_fest">Eingabe!#REF!</definedName>
    <definedName name="GlobalesKriterium" localSheetId="6">Eingabe!#REF!</definedName>
    <definedName name="GlobalesKriterium">Eingabe!#REF!</definedName>
    <definedName name="kWhHolz_tAtro" localSheetId="6">LCIA!#REF!</definedName>
    <definedName name="kWhHolz_tAtro">LCIA!#REF!</definedName>
    <definedName name="name">Eingabe!$C$7</definedName>
    <definedName name="Nm3_Abgas" localSheetId="6">LCIA!#REF!</definedName>
    <definedName name="Nm3_Abgas">LCIA!#REF!</definedName>
    <definedName name="Nm3_kgAtro" localSheetId="6">LCIA!#REF!</definedName>
    <definedName name="Nm3_kgAtro">LCIA!#REF!</definedName>
    <definedName name="relFeuchte">Eingabe!$D$12</definedName>
    <definedName name="sprache" localSheetId="6">Eingabe!#REF!</definedName>
    <definedName name="sprache">Eingabe!#REF!</definedName>
    <definedName name="tkm_outputs" localSheetId="6">Eingabe!#REF!</definedName>
    <definedName name="tkm_outputs">Eingabe!#REF!</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D15" i="4" l="1"/>
  <c r="AC4" i="2" l="1"/>
  <c r="AC6" i="2" s="1"/>
  <c r="C74" i="3" l="1"/>
  <c r="G21" i="10" l="1"/>
  <c r="G21" i="9"/>
  <c r="C51" i="3" l="1"/>
  <c r="C69" i="3" s="1"/>
  <c r="C64" i="3"/>
  <c r="C63" i="3"/>
  <c r="C67" i="3" l="1"/>
  <c r="C68" i="3"/>
  <c r="C72" i="3"/>
  <c r="C65" i="3"/>
  <c r="C70" i="3"/>
  <c r="AQ4" i="2"/>
  <c r="AQ6" i="2" s="1"/>
  <c r="I23" i="9"/>
  <c r="I24" i="9" s="1"/>
  <c r="AM5" i="2" s="1"/>
  <c r="C77" i="3" l="1"/>
  <c r="G9" i="10" s="1"/>
  <c r="F9" i="10" s="1"/>
  <c r="G18" i="9"/>
  <c r="G30" i="9"/>
  <c r="G28" i="9"/>
  <c r="G9" i="9" l="1"/>
  <c r="F9" i="9" s="1"/>
  <c r="G58" i="9"/>
  <c r="G53" i="9" l="1"/>
  <c r="G69" i="9" l="1"/>
  <c r="G68" i="9"/>
  <c r="G67" i="9"/>
  <c r="G66" i="9"/>
  <c r="G54" i="9"/>
  <c r="G70" i="9" l="1"/>
  <c r="F6" i="3"/>
  <c r="AK5" i="2"/>
  <c r="AK4" i="2"/>
  <c r="Q4" i="2"/>
  <c r="F4" i="2"/>
  <c r="F6" i="2" s="1"/>
  <c r="AK6" i="2" l="1"/>
  <c r="G57" i="9" l="1"/>
  <c r="G73" i="9"/>
  <c r="G35" i="9"/>
  <c r="G62" i="9"/>
  <c r="G48" i="9"/>
  <c r="G39" i="9"/>
  <c r="G43" i="9"/>
  <c r="G43" i="10" s="1"/>
  <c r="G32" i="9"/>
  <c r="G36" i="9"/>
  <c r="G25" i="9"/>
  <c r="G59" i="9"/>
  <c r="G63" i="9"/>
  <c r="G49" i="9"/>
  <c r="G40" i="9"/>
  <c r="G40" i="10" s="1"/>
  <c r="G29" i="9"/>
  <c r="G33" i="9"/>
  <c r="G37" i="9"/>
  <c r="G24" i="9"/>
  <c r="G24" i="10" s="1"/>
  <c r="G60" i="9"/>
  <c r="G50" i="9"/>
  <c r="G41" i="9"/>
  <c r="G34" i="9"/>
  <c r="G38" i="9"/>
  <c r="G61" i="9"/>
  <c r="G47" i="9"/>
  <c r="G46" i="9"/>
  <c r="G42" i="9"/>
  <c r="G42" i="10" s="1"/>
  <c r="G31" i="9"/>
  <c r="I6" i="2"/>
  <c r="H6" i="2"/>
  <c r="G53" i="10" l="1"/>
  <c r="G54" i="10"/>
  <c r="G73" i="10"/>
  <c r="G58" i="10"/>
  <c r="G59" i="10"/>
  <c r="G60" i="10"/>
  <c r="G61" i="10"/>
  <c r="G62" i="10"/>
  <c r="G63" i="10"/>
  <c r="G57" i="10"/>
  <c r="G39" i="10"/>
  <c r="G50" i="10"/>
  <c r="G49" i="10"/>
  <c r="G48" i="10"/>
  <c r="G47" i="10"/>
  <c r="G41" i="10" l="1"/>
  <c r="G29" i="10"/>
  <c r="G30" i="10"/>
  <c r="G31" i="10"/>
  <c r="G32" i="10"/>
  <c r="G33" i="10"/>
  <c r="G34" i="10"/>
  <c r="G35" i="10"/>
  <c r="G36" i="10"/>
  <c r="G37" i="10"/>
  <c r="G38" i="10"/>
  <c r="G28" i="10"/>
  <c r="G25" i="10"/>
  <c r="G18" i="10"/>
  <c r="C64" i="4"/>
  <c r="H38" i="9"/>
  <c r="H37" i="9"/>
  <c r="H32" i="9"/>
  <c r="H31" i="9"/>
  <c r="H30" i="9"/>
  <c r="H28" i="9"/>
  <c r="H66" i="9"/>
  <c r="H25" i="9"/>
  <c r="H24" i="9"/>
  <c r="AM4" i="2" l="1"/>
  <c r="AD4" i="2" l="1"/>
  <c r="AD6" i="2" s="1"/>
  <c r="O4" i="2"/>
  <c r="O6" i="2" s="1"/>
  <c r="O5" i="2"/>
  <c r="H10" i="2"/>
  <c r="AJ4" i="2"/>
  <c r="AI4" i="2"/>
  <c r="AI6" i="2" s="1"/>
  <c r="H25" i="10"/>
  <c r="H24" i="10"/>
  <c r="L4" i="2"/>
  <c r="AL5" i="2"/>
  <c r="AL4" i="2"/>
  <c r="C2" i="6"/>
  <c r="G69" i="10"/>
  <c r="G68" i="10"/>
  <c r="G67" i="10"/>
  <c r="H66" i="10"/>
  <c r="G66" i="10"/>
  <c r="H38" i="10"/>
  <c r="H37" i="10"/>
  <c r="H32" i="10"/>
  <c r="H31" i="10"/>
  <c r="H30" i="10"/>
  <c r="H29" i="10"/>
  <c r="A26" i="10"/>
  <c r="H28" i="10"/>
  <c r="A25" i="10"/>
  <c r="A24" i="10"/>
  <c r="A23" i="10"/>
  <c r="A18" i="10"/>
  <c r="A17" i="10"/>
  <c r="A16" i="10"/>
  <c r="G15" i="10"/>
  <c r="A15" i="10"/>
  <c r="G14" i="10"/>
  <c r="A14" i="10"/>
  <c r="A13" i="10"/>
  <c r="A12" i="10"/>
  <c r="H11" i="10"/>
  <c r="G1" i="10" s="1"/>
  <c r="G11" i="10"/>
  <c r="F1" i="10" s="1"/>
  <c r="A11" i="10"/>
  <c r="A7" i="10"/>
  <c r="A6" i="10"/>
  <c r="A5" i="10"/>
  <c r="A4" i="10"/>
  <c r="I5" i="3"/>
  <c r="J6" i="3"/>
  <c r="I6" i="3"/>
  <c r="G15" i="9"/>
  <c r="L5" i="2"/>
  <c r="G6" i="3"/>
  <c r="F5" i="3"/>
  <c r="F7" i="3" s="1"/>
  <c r="T4" i="2"/>
  <c r="T6" i="2" s="1"/>
  <c r="T5" i="2"/>
  <c r="S5" i="2"/>
  <c r="S4" i="2"/>
  <c r="R4" i="2"/>
  <c r="R6" i="2" s="1"/>
  <c r="G4" i="2"/>
  <c r="G6" i="2" s="1"/>
  <c r="G12" i="2" s="1"/>
  <c r="G5" i="2"/>
  <c r="W5" i="2"/>
  <c r="H11" i="9"/>
  <c r="G1" i="9" s="1"/>
  <c r="G11" i="9"/>
  <c r="F1" i="9" s="1"/>
  <c r="A12" i="9"/>
  <c r="I10" i="2"/>
  <c r="G14" i="9"/>
  <c r="A4" i="9"/>
  <c r="K4" i="2"/>
  <c r="K6" i="2" s="1"/>
  <c r="M5" i="3"/>
  <c r="K5" i="3"/>
  <c r="K7" i="3" s="1"/>
  <c r="L6" i="3"/>
  <c r="L5" i="3"/>
  <c r="AN5" i="2"/>
  <c r="AO5" i="2"/>
  <c r="AP5" i="2"/>
  <c r="AN4" i="2"/>
  <c r="AN6" i="2" s="1"/>
  <c r="AO4" i="2"/>
  <c r="AO6" i="2" s="1"/>
  <c r="A13" i="9"/>
  <c r="A14" i="9"/>
  <c r="A15" i="9"/>
  <c r="A16" i="9"/>
  <c r="A17" i="9"/>
  <c r="A18" i="9"/>
  <c r="A23" i="9"/>
  <c r="A24" i="9"/>
  <c r="A25" i="9"/>
  <c r="A26" i="9"/>
  <c r="A6" i="9"/>
  <c r="A7" i="9"/>
  <c r="A11" i="9"/>
  <c r="A5" i="9"/>
  <c r="J5" i="2"/>
  <c r="M5" i="2"/>
  <c r="N5" i="2"/>
  <c r="P5" i="2"/>
  <c r="Q5" i="2"/>
  <c r="Q6" i="2" s="1"/>
  <c r="R5" i="2"/>
  <c r="U5" i="2"/>
  <c r="V5" i="2"/>
  <c r="X5" i="2"/>
  <c r="Y5" i="2"/>
  <c r="Z5" i="2"/>
  <c r="AB5" i="2"/>
  <c r="AC5" i="2"/>
  <c r="AF5" i="2"/>
  <c r="J4" i="2"/>
  <c r="D5" i="2"/>
  <c r="D4" i="2"/>
  <c r="E5" i="2"/>
  <c r="F5" i="2"/>
  <c r="C5" i="2"/>
  <c r="E4" i="2"/>
  <c r="E6" i="2" s="1"/>
  <c r="F9" i="2"/>
  <c r="M4" i="2"/>
  <c r="M6" i="2" s="1"/>
  <c r="N4" i="2"/>
  <c r="N6" i="2" s="1"/>
  <c r="N9" i="2" s="1"/>
  <c r="P4" i="2"/>
  <c r="U4" i="2"/>
  <c r="V4" i="2"/>
  <c r="W4" i="2"/>
  <c r="X4" i="2"/>
  <c r="Y4" i="2"/>
  <c r="Y6" i="2" s="1"/>
  <c r="Z4" i="2"/>
  <c r="Z6" i="2" s="1"/>
  <c r="AA4" i="2"/>
  <c r="AB4" i="2"/>
  <c r="AB6" i="2" s="1"/>
  <c r="AF4" i="2"/>
  <c r="AF6" i="2" s="1"/>
  <c r="C4" i="2"/>
  <c r="C6" i="2" s="1"/>
  <c r="C9" i="2" s="1"/>
  <c r="M6" i="3"/>
  <c r="E5" i="3"/>
  <c r="G5" i="3"/>
  <c r="H5" i="3"/>
  <c r="H7" i="3" s="1"/>
  <c r="J5" i="3"/>
  <c r="D5" i="3"/>
  <c r="D7" i="3" s="1"/>
  <c r="C5" i="3"/>
  <c r="A2" i="5"/>
  <c r="X6" i="2" l="1"/>
  <c r="U6" i="2"/>
  <c r="U12" i="2" s="1"/>
  <c r="V6" i="2"/>
  <c r="V10" i="2" s="1"/>
  <c r="J7" i="3"/>
  <c r="C21" i="6" s="1"/>
  <c r="L6" i="2"/>
  <c r="L11" i="2" s="1"/>
  <c r="I7" i="3"/>
  <c r="I8" i="3" s="1"/>
  <c r="D20" i="6" s="1"/>
  <c r="D18" i="10" s="1"/>
  <c r="G7" i="3"/>
  <c r="C18" i="6" s="1"/>
  <c r="W6" i="2"/>
  <c r="W12" i="2" s="1"/>
  <c r="L7" i="3"/>
  <c r="C23" i="6" s="1"/>
  <c r="M7" i="3"/>
  <c r="M8" i="3" s="1"/>
  <c r="D24" i="6" s="1"/>
  <c r="D26" i="9" s="1"/>
  <c r="AL6" i="2"/>
  <c r="AL11" i="2" s="1"/>
  <c r="C7" i="3"/>
  <c r="C14" i="6" s="1"/>
  <c r="AQ9" i="2"/>
  <c r="K8" i="3"/>
  <c r="D22" i="6" s="1"/>
  <c r="E7" i="3"/>
  <c r="C16" i="6" s="1"/>
  <c r="AA6" i="2"/>
  <c r="AA9" i="2" s="1"/>
  <c r="AC10" i="2"/>
  <c r="S6" i="2"/>
  <c r="S11" i="2" s="1"/>
  <c r="P6" i="2"/>
  <c r="P9" i="2" s="1"/>
  <c r="D6" i="2"/>
  <c r="D9" i="2" s="1"/>
  <c r="G70" i="10"/>
  <c r="AJ5" i="2"/>
  <c r="I11" i="2"/>
  <c r="H12" i="2"/>
  <c r="H9" i="2"/>
  <c r="H11" i="2"/>
  <c r="I12" i="2"/>
  <c r="I9" i="2"/>
  <c r="AF12" i="2"/>
  <c r="AF9" i="2"/>
  <c r="N12" i="2"/>
  <c r="N10" i="2"/>
  <c r="AF10" i="2"/>
  <c r="F11" i="2"/>
  <c r="K12" i="2"/>
  <c r="K10" i="2"/>
  <c r="C15" i="6"/>
  <c r="D8" i="3"/>
  <c r="D15" i="6" s="1"/>
  <c r="D13" i="9" s="1"/>
  <c r="AF11" i="2"/>
  <c r="F10" i="2"/>
  <c r="G10" i="2"/>
  <c r="R9" i="2"/>
  <c r="R11" i="2"/>
  <c r="F12" i="2"/>
  <c r="X12" i="2"/>
  <c r="K9" i="2"/>
  <c r="G9" i="2"/>
  <c r="C17" i="6"/>
  <c r="AD12" i="2"/>
  <c r="AD10" i="2"/>
  <c r="AD9" i="2"/>
  <c r="T12" i="2"/>
  <c r="T11" i="2"/>
  <c r="T10" i="2"/>
  <c r="T9" i="2"/>
  <c r="O9" i="2"/>
  <c r="O12" i="2"/>
  <c r="AI10" i="2"/>
  <c r="AI9" i="2"/>
  <c r="AI12" i="2"/>
  <c r="N11" i="2"/>
  <c r="Y12" i="2"/>
  <c r="K11" i="2"/>
  <c r="G11" i="2"/>
  <c r="AK11" i="2"/>
  <c r="Z10" i="2"/>
  <c r="Z11" i="2"/>
  <c r="Z9" i="2"/>
  <c r="Z12" i="2"/>
  <c r="AB11" i="2"/>
  <c r="AB9" i="2"/>
  <c r="AB12" i="2"/>
  <c r="AB10" i="2"/>
  <c r="E10" i="2"/>
  <c r="E9" i="2"/>
  <c r="E12" i="2"/>
  <c r="E11" i="2"/>
  <c r="M12" i="2"/>
  <c r="M11" i="2"/>
  <c r="M10" i="2"/>
  <c r="M9" i="2"/>
  <c r="C19" i="6"/>
  <c r="H8" i="3"/>
  <c r="D19" i="6" s="1"/>
  <c r="C10" i="2"/>
  <c r="AO9" i="2"/>
  <c r="AO12" i="2"/>
  <c r="R12" i="2"/>
  <c r="R10" i="2"/>
  <c r="C12" i="2"/>
  <c r="C11" i="2"/>
  <c r="AN9" i="2"/>
  <c r="AN12" i="2"/>
  <c r="O10" i="2"/>
  <c r="O11" i="2"/>
  <c r="AD11" i="2"/>
  <c r="AI11" i="2"/>
  <c r="L9" i="2" l="1"/>
  <c r="L12" i="2"/>
  <c r="L10" i="2"/>
  <c r="C22" i="6"/>
  <c r="C8" i="3"/>
  <c r="D14" i="6" s="1"/>
  <c r="D12" i="10" s="1"/>
  <c r="P11" i="2"/>
  <c r="P12" i="2"/>
  <c r="AC9" i="2"/>
  <c r="D24" i="9"/>
  <c r="D24" i="10"/>
  <c r="AC11" i="2"/>
  <c r="E8" i="3"/>
  <c r="D16" i="6" s="1"/>
  <c r="D14" i="9" s="1"/>
  <c r="AC12" i="2"/>
  <c r="AA11" i="2"/>
  <c r="AQ12" i="2"/>
  <c r="AA12" i="2"/>
  <c r="AJ6" i="2"/>
  <c r="AJ9" i="2" s="1"/>
  <c r="H9" i="6" s="1"/>
  <c r="AH6" i="2"/>
  <c r="AA10" i="2"/>
  <c r="AG6" i="2"/>
  <c r="P10" i="2"/>
  <c r="S12" i="2"/>
  <c r="S10" i="2"/>
  <c r="S9" i="2"/>
  <c r="J6" i="2"/>
  <c r="J12" i="2" s="1"/>
  <c r="K8" i="6" s="1"/>
  <c r="C24" i="6"/>
  <c r="AE4" i="2"/>
  <c r="AE6" i="2" s="1"/>
  <c r="AM6" i="2" s="1"/>
  <c r="V12" i="2"/>
  <c r="D26" i="10"/>
  <c r="V9" i="2"/>
  <c r="U10" i="2"/>
  <c r="D18" i="9"/>
  <c r="AJ10" i="2"/>
  <c r="I9" i="6" s="1"/>
  <c r="V11" i="2"/>
  <c r="X9" i="2"/>
  <c r="L8" i="3"/>
  <c r="D23" i="6" s="1"/>
  <c r="D25" i="10" s="1"/>
  <c r="X11" i="2"/>
  <c r="AK12" i="2"/>
  <c r="W9" i="2"/>
  <c r="D11" i="2"/>
  <c r="W10" i="2"/>
  <c r="C20" i="6"/>
  <c r="J8" i="3"/>
  <c r="D21" i="6" s="1"/>
  <c r="D23" i="9" s="1"/>
  <c r="W11" i="2"/>
  <c r="Y10" i="2"/>
  <c r="D13" i="10"/>
  <c r="AK9" i="2"/>
  <c r="AL9" i="2"/>
  <c r="U9" i="2"/>
  <c r="AK10" i="2"/>
  <c r="U11" i="2"/>
  <c r="G8" i="3"/>
  <c r="D18" i="6" s="1"/>
  <c r="D16" i="10" s="1"/>
  <c r="D12" i="2"/>
  <c r="X10" i="2"/>
  <c r="D10" i="2"/>
  <c r="F8" i="3"/>
  <c r="D17" i="6" s="1"/>
  <c r="AL12" i="2"/>
  <c r="J4" i="6"/>
  <c r="AL10" i="2"/>
  <c r="Y9" i="2"/>
  <c r="Y11" i="2"/>
  <c r="H7" i="6"/>
  <c r="D17" i="9"/>
  <c r="D17" i="10"/>
  <c r="Q9" i="2"/>
  <c r="Q12" i="2"/>
  <c r="Q10" i="2"/>
  <c r="Q11" i="2"/>
  <c r="J5" i="6"/>
  <c r="J7" i="6" l="1"/>
  <c r="K7" i="6"/>
  <c r="D12" i="9"/>
  <c r="I7" i="6"/>
  <c r="AJ11" i="2"/>
  <c r="J9" i="6" s="1"/>
  <c r="AJ12" i="2"/>
  <c r="K9" i="6" s="1"/>
  <c r="B11" i="10"/>
  <c r="B11" i="9"/>
  <c r="D14" i="10"/>
  <c r="AS4" i="2"/>
  <c r="AS6" i="2" s="1"/>
  <c r="AR4" i="2"/>
  <c r="AR6" i="2" s="1"/>
  <c r="AE11" i="2"/>
  <c r="AE12" i="2"/>
  <c r="AE10" i="2"/>
  <c r="AE9" i="2"/>
  <c r="D25" i="9"/>
  <c r="J9" i="2"/>
  <c r="H8" i="6" s="1"/>
  <c r="B7" i="10" s="1"/>
  <c r="H4" i="6"/>
  <c r="K4" i="6"/>
  <c r="J10" i="2"/>
  <c r="I8" i="6" s="1"/>
  <c r="I4" i="6"/>
  <c r="D23" i="10"/>
  <c r="J11" i="2"/>
  <c r="J8" i="6" s="1"/>
  <c r="D16" i="9"/>
  <c r="D25" i="6"/>
  <c r="E16" i="6" s="1"/>
  <c r="D15" i="9"/>
  <c r="D15" i="10"/>
  <c r="AH9" i="2"/>
  <c r="AH11" i="2"/>
  <c r="AH12" i="2"/>
  <c r="AH10" i="2"/>
  <c r="B6" i="9"/>
  <c r="B6" i="10"/>
  <c r="AG10" i="2"/>
  <c r="AG12" i="2"/>
  <c r="AG11" i="2"/>
  <c r="AG9" i="2"/>
  <c r="G46" i="10" l="1"/>
  <c r="AS12" i="2"/>
  <c r="AS9" i="2"/>
  <c r="AM9" i="2"/>
  <c r="AM10" i="2"/>
  <c r="I5" i="6" s="1"/>
  <c r="AM12" i="2"/>
  <c r="AP4" i="2"/>
  <c r="AP6" i="2" s="1"/>
  <c r="AR9" i="2"/>
  <c r="AR12" i="2"/>
  <c r="B7" i="9"/>
  <c r="E22" i="6"/>
  <c r="D27" i="10"/>
  <c r="H4" i="10" s="1"/>
  <c r="D27" i="9"/>
  <c r="H4" i="9" s="1"/>
  <c r="E14" i="6"/>
  <c r="E21" i="6"/>
  <c r="E15" i="6"/>
  <c r="E18" i="6"/>
  <c r="E19" i="6"/>
  <c r="E24" i="6"/>
  <c r="E20" i="6"/>
  <c r="E17" i="6"/>
  <c r="J6" i="6"/>
  <c r="J10" i="6" s="1"/>
  <c r="E23" i="6"/>
  <c r="B11" i="2"/>
  <c r="H6" i="6"/>
  <c r="K6" i="6"/>
  <c r="I6" i="6"/>
  <c r="J22" i="6" l="1"/>
  <c r="B10" i="2"/>
  <c r="AP12" i="2"/>
  <c r="B12" i="2" s="1"/>
  <c r="AP9" i="2"/>
  <c r="H5" i="6" s="1"/>
  <c r="I10" i="6"/>
  <c r="I16" i="6" s="1"/>
  <c r="J19" i="6"/>
  <c r="J17" i="6"/>
  <c r="E25" i="6"/>
  <c r="J23" i="6"/>
  <c r="J20" i="6"/>
  <c r="J21" i="6"/>
  <c r="J24" i="6"/>
  <c r="J15" i="6"/>
  <c r="J14" i="6"/>
  <c r="J18" i="6"/>
  <c r="J16" i="6"/>
  <c r="B5" i="10"/>
  <c r="B5" i="9"/>
  <c r="I22" i="6" l="1"/>
  <c r="I17" i="6"/>
  <c r="I14" i="6"/>
  <c r="I23" i="6"/>
  <c r="I24" i="6"/>
  <c r="I15" i="6"/>
  <c r="I18" i="6"/>
  <c r="I19" i="6"/>
  <c r="I21" i="6"/>
  <c r="I20" i="6"/>
  <c r="K5" i="6"/>
  <c r="K10" i="6" s="1"/>
  <c r="K22" i="6" s="1"/>
  <c r="B9" i="2"/>
  <c r="B4" i="9"/>
  <c r="B27" i="9" s="1"/>
  <c r="C14" i="9" s="1"/>
  <c r="B4" i="10"/>
  <c r="B27" i="10" s="1"/>
  <c r="H10" i="6"/>
  <c r="H22" i="6" s="1"/>
  <c r="G4" i="9" l="1"/>
  <c r="G5" i="9" s="1"/>
  <c r="F5" i="9" s="1"/>
  <c r="C12" i="9"/>
  <c r="H18" i="6"/>
  <c r="H19" i="6"/>
  <c r="H14" i="6"/>
  <c r="H15" i="6"/>
  <c r="H17" i="6"/>
  <c r="H20" i="6"/>
  <c r="H21" i="6"/>
  <c r="H24" i="6"/>
  <c r="H16" i="6"/>
  <c r="H23" i="6"/>
  <c r="K20" i="6"/>
  <c r="K17" i="6"/>
  <c r="K21" i="6"/>
  <c r="K15" i="6"/>
  <c r="K18" i="6"/>
  <c r="K23" i="6"/>
  <c r="K16" i="6"/>
  <c r="K24" i="6"/>
  <c r="K19" i="6"/>
  <c r="K14" i="6"/>
  <c r="C26" i="9"/>
  <c r="C24" i="9"/>
  <c r="C13" i="9"/>
  <c r="C16" i="9"/>
  <c r="C13" i="10"/>
  <c r="C12" i="10"/>
  <c r="C15" i="10"/>
  <c r="C23" i="10"/>
  <c r="C16" i="10"/>
  <c r="C25" i="10"/>
  <c r="G4" i="10"/>
  <c r="G5" i="10" s="1"/>
  <c r="F5" i="10" s="1"/>
  <c r="C18" i="10"/>
  <c r="C14" i="10"/>
  <c r="C26" i="10"/>
  <c r="C17" i="10"/>
  <c r="C24" i="10"/>
  <c r="E8" i="6"/>
  <c r="E9" i="6"/>
  <c r="E10" i="6"/>
  <c r="E7" i="6"/>
  <c r="E6" i="6"/>
  <c r="E4" i="6"/>
  <c r="C17" i="9"/>
  <c r="C25" i="9"/>
  <c r="C15" i="9"/>
  <c r="C23" i="9"/>
  <c r="C18" i="9"/>
  <c r="E5" i="6"/>
  <c r="C27" i="9" l="1"/>
  <c r="C2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Laura Tschuemperlin</author>
  </authors>
  <commentList>
    <comment ref="AM3" authorId="0" shapeId="0" xr:uid="{00000000-0006-0000-0400-000001000000}">
      <text>
        <r>
          <rPr>
            <b/>
            <sz val="9"/>
            <color indexed="81"/>
            <rFont val="Tahoma"/>
            <family val="2"/>
          </rPr>
          <t>Laura Tschuemperlin:</t>
        </r>
        <r>
          <rPr>
            <sz val="9"/>
            <color indexed="81"/>
            <rFont val="Tahoma"/>
            <family val="2"/>
          </rPr>
          <t xml:space="preserve">
CO2 wird nicht separat abgefragt, da es keinen Grenzwert gibt von der LRV
</t>
        </r>
      </text>
    </comment>
    <comment ref="K6" authorId="0" shapeId="0" xr:uid="{00000000-0006-0000-0400-000002000000}">
      <text>
        <r>
          <rPr>
            <b/>
            <sz val="9"/>
            <color indexed="81"/>
            <rFont val="Tahoma"/>
            <family val="2"/>
          </rPr>
          <t>Laura Tschuemperlin:</t>
        </r>
        <r>
          <rPr>
            <sz val="9"/>
            <color indexed="81"/>
            <rFont val="Tahoma"/>
            <family val="2"/>
          </rPr>
          <t xml:space="preserve">
6.5 kWh/t Schlacke gemäss Bösch et al. 2013
</t>
        </r>
      </text>
    </comment>
    <comment ref="AB6" authorId="0" shapeId="0" xr:uid="{00000000-0006-0000-0400-000003000000}">
      <text>
        <r>
          <rPr>
            <b/>
            <sz val="9"/>
            <color indexed="81"/>
            <rFont val="Tahoma"/>
            <family val="2"/>
          </rPr>
          <t>Laura Tschuemperlin:</t>
        </r>
        <r>
          <rPr>
            <sz val="9"/>
            <color indexed="81"/>
            <rFont val="Tahoma"/>
            <family val="2"/>
          </rPr>
          <t xml:space="preserve">
über den low heating value von 19.5MJ/kg gerechnet</t>
        </r>
      </text>
    </comment>
    <comment ref="AD6" authorId="0" shapeId="0" xr:uid="{00000000-0006-0000-0400-000004000000}">
      <text>
        <r>
          <rPr>
            <b/>
            <sz val="9"/>
            <color indexed="81"/>
            <rFont val="Tahoma"/>
            <family val="2"/>
          </rPr>
          <t>Laura Tschuemperlin:</t>
        </r>
        <r>
          <rPr>
            <sz val="9"/>
            <color indexed="81"/>
            <rFont val="Tahoma"/>
            <family val="2"/>
          </rPr>
          <t xml:space="preserve">
37.8 MJ/m^3
</t>
        </r>
      </text>
    </comment>
    <comment ref="AE6" authorId="0" shapeId="0" xr:uid="{00000000-0006-0000-0400-000005000000}">
      <text>
        <r>
          <rPr>
            <b/>
            <sz val="9"/>
            <color indexed="81"/>
            <rFont val="Tahoma"/>
            <family val="2"/>
          </rPr>
          <t>Laura Tschuemperlin:</t>
        </r>
        <r>
          <rPr>
            <sz val="9"/>
            <color indexed="81"/>
            <rFont val="Tahoma"/>
            <family val="2"/>
          </rPr>
          <t xml:space="preserve">
Dichte von leichtem Heizöl: 0.86 kg/l</t>
        </r>
      </text>
    </comment>
    <comment ref="AM6" authorId="0" shapeId="0" xr:uid="{00000000-0006-0000-0400-000006000000}">
      <text>
        <r>
          <rPr>
            <b/>
            <sz val="9"/>
            <color indexed="81"/>
            <rFont val="Tahoma"/>
            <family val="2"/>
          </rPr>
          <t>Laura Tschuemperlin:</t>
        </r>
        <r>
          <rPr>
            <sz val="9"/>
            <color indexed="81"/>
            <rFont val="Tahoma"/>
            <family val="2"/>
          </rPr>
          <t xml:space="preserve">
diese 0.43.. Kg CO2 fossil / kg waste wurden aus dem DOKA Tool übernommen
+ Heizöl: 42.6 MJ/kg und 0.074 kgCO2(fossil)/MJ
+ Erdgas: 0.056 kgCO2(fossil)/MJ
+Propan: 0.592kg/l und 24.48MJ/l und 0.0654kgCO2(fossil)/MJ</t>
        </r>
      </text>
    </comment>
    <comment ref="AR6" authorId="0" shapeId="0" xr:uid="{00000000-0006-0000-0400-000007000000}">
      <text>
        <r>
          <rPr>
            <b/>
            <sz val="9"/>
            <color indexed="81"/>
            <rFont val="Tahoma"/>
            <family val="2"/>
          </rPr>
          <t>Laura Tschuemperlin:</t>
        </r>
        <r>
          <rPr>
            <sz val="9"/>
            <color indexed="81"/>
            <rFont val="Tahoma"/>
            <family val="2"/>
          </rPr>
          <t xml:space="preserve">
gemäss Verhältnis der prozessspezifischen PM Emissionen im DOKA Tool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Laura Tschuemperlin</author>
  </authors>
  <commentList>
    <comment ref="K7" authorId="0" shapeId="0" xr:uid="{00000000-0006-0000-0500-000001000000}">
      <text>
        <r>
          <rPr>
            <b/>
            <sz val="9"/>
            <color indexed="81"/>
            <rFont val="Tahoma"/>
            <family val="2"/>
          </rPr>
          <t>Laura Tschuemperlin:</t>
        </r>
        <r>
          <rPr>
            <sz val="9"/>
            <color indexed="81"/>
            <rFont val="Tahoma"/>
            <family val="2"/>
          </rPr>
          <t xml:space="preserve">
0.02, da 1kg Abfall etwa 2% Flugasche ergibt</t>
        </r>
      </text>
    </comment>
  </commentList>
</comments>
</file>

<file path=xl/sharedStrings.xml><?xml version="1.0" encoding="utf-8"?>
<sst xmlns="http://schemas.openxmlformats.org/spreadsheetml/2006/main" count="1124" uniqueCount="442">
  <si>
    <t>Summe</t>
  </si>
  <si>
    <t>Pt</t>
  </si>
  <si>
    <t>Transport, lorry 20-28t, fleet average/CH U</t>
  </si>
  <si>
    <t>Anleitung</t>
  </si>
  <si>
    <t>Umrechnungsfaktor</t>
  </si>
  <si>
    <t>Eingabe 1</t>
  </si>
  <si>
    <t>Eingabe 2</t>
  </si>
  <si>
    <t>Total</t>
  </si>
  <si>
    <t>Referenz</t>
  </si>
  <si>
    <t>IPCC GWP 100a</t>
  </si>
  <si>
    <t>kg CO2 eq</t>
  </si>
  <si>
    <t>Non renewable, fossil</t>
  </si>
  <si>
    <t>Non-renewable, nuclear</t>
  </si>
  <si>
    <t>Non-renewable, land transformation</t>
  </si>
  <si>
    <t>MJ-eq</t>
  </si>
  <si>
    <t>kg CO2-eq</t>
  </si>
  <si>
    <t>Pkt</t>
  </si>
  <si>
    <t>Energy resources</t>
  </si>
  <si>
    <t>Umweltdeklaration</t>
  </si>
  <si>
    <t>Human Health</t>
  </si>
  <si>
    <t>Ecosystem Quality</t>
  </si>
  <si>
    <t>Resources</t>
  </si>
  <si>
    <t>a</t>
  </si>
  <si>
    <t>Anteil</t>
  </si>
  <si>
    <t>Rückfragen</t>
  </si>
  <si>
    <t>Strombezug aus Netz</t>
  </si>
  <si>
    <t>Molkenstrasse 21</t>
  </si>
  <si>
    <t>8004 Zürich</t>
  </si>
  <si>
    <t xml:space="preserve">Calculation: </t>
  </si>
  <si>
    <t xml:space="preserve">Results: </t>
  </si>
  <si>
    <t xml:space="preserve">Product 1: </t>
  </si>
  <si>
    <t xml:space="preserve">Product 2: </t>
  </si>
  <si>
    <t xml:space="preserve">Product 3: </t>
  </si>
  <si>
    <t xml:space="preserve">Product 4: </t>
  </si>
  <si>
    <t xml:space="preserve">Product 5: </t>
  </si>
  <si>
    <t xml:space="preserve">Product 6: </t>
  </si>
  <si>
    <t xml:space="preserve">Product 7: </t>
  </si>
  <si>
    <t xml:space="preserve">Product 8: </t>
  </si>
  <si>
    <t xml:space="preserve">Product 9: </t>
  </si>
  <si>
    <t xml:space="preserve">Product 10: </t>
  </si>
  <si>
    <t>Eco-indicator 99 (H) V2.09 / Europe EI 99 H/A</t>
  </si>
  <si>
    <t xml:space="preserve">Skip categories: </t>
  </si>
  <si>
    <t xml:space="preserve">Per impact category: </t>
  </si>
  <si>
    <t xml:space="preserve">Sorted on item: </t>
  </si>
  <si>
    <t xml:space="preserve">Sort order: </t>
  </si>
  <si>
    <t xml:space="preserve">Product 11: </t>
  </si>
  <si>
    <t>1 tkm Transport, lorry 20-28t, fleet average/CH U (of project Ecoinvent unit processes)</t>
  </si>
  <si>
    <t xml:space="preserve">Product 12: </t>
  </si>
  <si>
    <t>1 tkm Transport, freight, rail/RER U (of project Ecoinvent unit processes)</t>
  </si>
  <si>
    <t xml:space="preserve">Product 13: </t>
  </si>
  <si>
    <t xml:space="preserve">Product 14: </t>
  </si>
  <si>
    <t xml:space="preserve">Product 15: </t>
  </si>
  <si>
    <t xml:space="preserve">Product 16: </t>
  </si>
  <si>
    <t xml:space="preserve">Product 17: </t>
  </si>
  <si>
    <t xml:space="preserve">Product 18: </t>
  </si>
  <si>
    <t xml:space="preserve">Product 19: </t>
  </si>
  <si>
    <t xml:space="preserve">Product 20: </t>
  </si>
  <si>
    <t xml:space="preserve">Product 21: </t>
  </si>
  <si>
    <t xml:space="preserve">Product 22: </t>
  </si>
  <si>
    <t xml:space="preserve">Product 23: </t>
  </si>
  <si>
    <t xml:space="preserve">Product 24: </t>
  </si>
  <si>
    <t xml:space="preserve">Product 25: </t>
  </si>
  <si>
    <t xml:space="preserve">Product 26: </t>
  </si>
  <si>
    <t xml:space="preserve">Product 27: </t>
  </si>
  <si>
    <t>Transport, freight, rail/RER U</t>
  </si>
  <si>
    <t>Cumulative Energy Demand, differenziert V1.04 / CED, non-renewable</t>
  </si>
  <si>
    <t>MJ</t>
  </si>
  <si>
    <t>Vergleichen</t>
  </si>
  <si>
    <t>Wirkungsabschätzung</t>
  </si>
  <si>
    <t>1 kg Sodium hydroxide, 50% in H2O, production mix, at plant/RER U (of project Ecoinvent unit processes)</t>
  </si>
  <si>
    <t>1 kg Quicklime, milled, packed, at plant/CH U (of project Ecoinvent unit processes)</t>
  </si>
  <si>
    <t>1 kg Hydrochloric acid, 30% in H2O, at plant/RER U (of project Ecoinvent unit processes)</t>
  </si>
  <si>
    <t>1 kg Iron (III) chloride, 40% in H2O, at plant/CH U (of project Ecoinvent unit processes)</t>
  </si>
  <si>
    <t>1 kg Chemicals organic, at plant/GLO U (of project Ecoinvent unit processes)</t>
  </si>
  <si>
    <t>1 kg Chemicals inorganic, at plant/GLO U (of project Ecoinvent unit processes)</t>
  </si>
  <si>
    <t>1 kg Ammonia, liquid, at regional storehouse/CH U (of project Ecoinvent unit processes)</t>
  </si>
  <si>
    <t>1 kWh electricity, low voltage, at grid/kWh/CH U (of project Ecoinvent unit processes)</t>
  </si>
  <si>
    <t>1 kg Soda, powder, at plant/RER U (of project Ecoinvent unit processes)</t>
  </si>
  <si>
    <t>1 MJ Lignite briquettes, at plant/DE U (of project Ecoinvent unit processes)</t>
  </si>
  <si>
    <t>1 kg tap water, at user/kg/CH U (of project Ecoinvent unit processes)</t>
  </si>
  <si>
    <t xml:space="preserve">Methode: </t>
  </si>
  <si>
    <t xml:space="preserve">Indikator: </t>
  </si>
  <si>
    <t>Einzelergebnis</t>
  </si>
  <si>
    <t>Nie</t>
  </si>
  <si>
    <t xml:space="preserve">Default units: </t>
  </si>
  <si>
    <t>Ja</t>
  </si>
  <si>
    <t xml:space="preserve">Infrastrukturprozesse ausschließen: </t>
  </si>
  <si>
    <t>Nein</t>
  </si>
  <si>
    <t xml:space="preserve">Langzeitemissionen ausschließen: </t>
  </si>
  <si>
    <t>Schadenskategorie</t>
  </si>
  <si>
    <t>Aufsteigend</t>
  </si>
  <si>
    <t>Einheit</t>
  </si>
  <si>
    <t>disposal, municipal solid waste, fly ash, to residual material landfill/CH U</t>
  </si>
  <si>
    <t>disposal, municipal solid waste, fly ash, to slag compartment/CH U</t>
  </si>
  <si>
    <t>disposal, municipal solid waste, SCR high dust/CH U</t>
  </si>
  <si>
    <t>disposal, municipal solid waste, SCR low dust/CH U</t>
  </si>
  <si>
    <t>disposal, municipal solid waste, scrubber sludge, to residual material landfill/CH U</t>
  </si>
  <si>
    <t>disposal, municipal solid waste, scrubber sludge, to slag compartment/CH U</t>
  </si>
  <si>
    <t>disposal, municipal solid waste, slag, to slag compartment/CH U</t>
  </si>
  <si>
    <t>disposal, municipal solid waste, to municipal incineration with dry RGR/CH U</t>
  </si>
  <si>
    <t>disposal, municipal solid waste, to municipal incineration with wet RGR/CH U</t>
  </si>
  <si>
    <t>treatment, fly ash, external acid scrubbing FLUWA/kg/CH U</t>
  </si>
  <si>
    <t>treatment, fly ash, external acid scrubbing FLUREC/kg/CH U</t>
  </si>
  <si>
    <t>Sodium hydroxide, 50% in H2O, production mix, at plant/RER U</t>
  </si>
  <si>
    <t>Quicklime, milled, packed, at plant/CH U</t>
  </si>
  <si>
    <t>Hydrochloric acid, 30% in H2O, at plant/RER U</t>
  </si>
  <si>
    <t>Iron (III) chloride, 40% in H2O, at plant/CH U</t>
  </si>
  <si>
    <t>Chemicals organic, at plant/GLO U</t>
  </si>
  <si>
    <t>Chemicals inorganic, at plant/GLO U</t>
  </si>
  <si>
    <t>Ammonia, liquid, at regional storehouse/CH U</t>
  </si>
  <si>
    <t>electricity, low voltage, at grid/kWh/CH U</t>
  </si>
  <si>
    <t>Soda, powder, at plant/RER U</t>
  </si>
  <si>
    <t>Lignite briquettes, at plant/DE U</t>
  </si>
  <si>
    <t>Propane/ butane, at refinery/CH U</t>
  </si>
  <si>
    <t>tap water, at user/kg/CH U</t>
  </si>
  <si>
    <t>Renewable, biomass</t>
  </si>
  <si>
    <t>Renewable, wind, solar, geothermal</t>
  </si>
  <si>
    <t>Renewable, water</t>
  </si>
  <si>
    <t>Waste heat</t>
  </si>
  <si>
    <t>Secondary energy and waste</t>
  </si>
  <si>
    <t>Water resources</t>
  </si>
  <si>
    <t>Mineral resources</t>
  </si>
  <si>
    <t>Land use</t>
  </si>
  <si>
    <t>Global warming</t>
  </si>
  <si>
    <t>Ozone layer depletion</t>
  </si>
  <si>
    <t>Main air pollutants and PM</t>
  </si>
  <si>
    <t>Carcinogenic substances into air</t>
  </si>
  <si>
    <t>Heavy metals into air</t>
  </si>
  <si>
    <t>Water pollutants</t>
  </si>
  <si>
    <t>POP into water</t>
  </si>
  <si>
    <t>Heavy metals into water</t>
  </si>
  <si>
    <t>Pesticides into soil</t>
  </si>
  <si>
    <t>Heavy metals into soil</t>
  </si>
  <si>
    <t>Radioactive substances into air</t>
  </si>
  <si>
    <t>Radioactive substances into water</t>
  </si>
  <si>
    <t>Noise</t>
  </si>
  <si>
    <t>Non radioactive waste to deposit</t>
  </si>
  <si>
    <t>Radioactive waste to deposit</t>
  </si>
  <si>
    <t>Abfallmenge</t>
  </si>
  <si>
    <t>Energierückgewinnung</t>
  </si>
  <si>
    <t>Metallrückgewinnung aus Schlacke</t>
  </si>
  <si>
    <t>Eisen</t>
  </si>
  <si>
    <t>Kupfer</t>
  </si>
  <si>
    <t>Aluminium</t>
  </si>
  <si>
    <t>Edelstahl</t>
  </si>
  <si>
    <t>Gold</t>
  </si>
  <si>
    <t>[Tonnen/Jahr]</t>
  </si>
  <si>
    <t>[MWh/Jahr]</t>
  </si>
  <si>
    <t>Rauchgasreinigung</t>
  </si>
  <si>
    <t>nass</t>
  </si>
  <si>
    <t>trocken</t>
  </si>
  <si>
    <t>DeNOx Technologie</t>
  </si>
  <si>
    <t>SCR low dust</t>
  </si>
  <si>
    <t>SCR high dust</t>
  </si>
  <si>
    <t>Anlagetyp</t>
  </si>
  <si>
    <t>Bezugsmenge</t>
  </si>
  <si>
    <t>Konzentration</t>
  </si>
  <si>
    <t>Natronlauge</t>
  </si>
  <si>
    <t>Salzsäure</t>
  </si>
  <si>
    <t>FeCl3</t>
  </si>
  <si>
    <t>Adsorbensmittel (Herdofenkoks)</t>
  </si>
  <si>
    <t>Ammoniak</t>
  </si>
  <si>
    <t>Wasser</t>
  </si>
  <si>
    <t>Behandlung der Flugasche</t>
  </si>
  <si>
    <t>FLUWA</t>
  </si>
  <si>
    <t>Anteil Flugasche</t>
  </si>
  <si>
    <t xml:space="preserve">Unbehandelt auf Reststoffdeponie (Verfestigung mit Zement) </t>
  </si>
  <si>
    <t xml:space="preserve">Unbehandelt auf Untertagedeponie </t>
  </si>
  <si>
    <t>Untertagedeponie</t>
  </si>
  <si>
    <t>NaHCO3 / Natriumbicarbonat / Natron</t>
  </si>
  <si>
    <t>Deponierung von Gewebefilter Rückständen</t>
  </si>
  <si>
    <t>EI'99-aggregated, Hierarchist</t>
  </si>
  <si>
    <t>Prüfwert</t>
  </si>
  <si>
    <t>Grenzwert Strom</t>
  </si>
  <si>
    <t>Grenzwert Wärme</t>
  </si>
  <si>
    <t>Strom, kWh</t>
  </si>
  <si>
    <t>Grenzwert Entsorgungsfunktion</t>
  </si>
  <si>
    <t>Grenzwert Primäraluminium</t>
  </si>
  <si>
    <t>Grenzwert Primärkupfer</t>
  </si>
  <si>
    <t>Grenzwert Primär-Gold</t>
  </si>
  <si>
    <t>Grenzwert Primär-Edelstahl</t>
  </si>
  <si>
    <t>Grenzwert Roheisen</t>
  </si>
  <si>
    <t>Grenzwert Primärzink</t>
  </si>
  <si>
    <t>Grenzwert Zinkkonzentrat</t>
  </si>
  <si>
    <t>Grenzwert Bleikonzentrat</t>
  </si>
  <si>
    <t>Zeile 2</t>
  </si>
  <si>
    <t xml:space="preserve">Zeile 1 </t>
  </si>
  <si>
    <t>Klimawandel</t>
  </si>
  <si>
    <t>KEA, ne</t>
  </si>
  <si>
    <t>ökologische Knappheit</t>
  </si>
  <si>
    <t>Zeile 1</t>
  </si>
  <si>
    <t>Andere Chemikalien (anorganisch)</t>
  </si>
  <si>
    <t>intern</t>
  </si>
  <si>
    <t>extern</t>
  </si>
  <si>
    <t>FLUREC (extern)</t>
  </si>
  <si>
    <t>KVA (inkl. direkte Emissionen)</t>
  </si>
  <si>
    <t>Hilfsstoffe Total</t>
  </si>
  <si>
    <t>Deponierung Bodenasche</t>
  </si>
  <si>
    <t>Behandlung Flugasche (inkl. Deponie)</t>
  </si>
  <si>
    <t>Deponierung Gewebefilterrückstände</t>
  </si>
  <si>
    <t>Entsorgung, kg</t>
  </si>
  <si>
    <t>Die automatische Berechnung in Excel muss eingeschaltet sein (/Extras/Optionen/Berechnung --&gt; automatisch) oder man kann mit der [F9] Taste jeweils Formeln neu berechnen lassen.</t>
  </si>
  <si>
    <t>Alle Angaben müssen für ein Jahr eingegeben werden.</t>
  </si>
  <si>
    <t>Rolf Frischknecht</t>
  </si>
  <si>
    <t>treeze Ltd.
Kanzleistrasse 4, 8610 Uster</t>
  </si>
  <si>
    <t>Tel: 044 940 61 90</t>
  </si>
  <si>
    <t>www.treeze.ch</t>
  </si>
  <si>
    <t>Entwicklung und Auftragnehmer:</t>
  </si>
  <si>
    <t>Tel +41 44 213 10 21</t>
  </si>
  <si>
    <t>TOTAL</t>
  </si>
  <si>
    <t>UBP 13 Pkte</t>
  </si>
  <si>
    <t>Schwefeldioxid (SO2)</t>
  </si>
  <si>
    <t>Ammoniak (NH3)</t>
  </si>
  <si>
    <t>Zink (Zn)</t>
  </si>
  <si>
    <t>Partikel (PM)</t>
  </si>
  <si>
    <t>[Menge/Jahr]</t>
  </si>
  <si>
    <t>[kg/Jahr]</t>
  </si>
  <si>
    <t>Carbon dioxide, fossil</t>
  </si>
  <si>
    <t>Carbon dioxide, fossil, in air</t>
  </si>
  <si>
    <t>Nitrogen oxides</t>
  </si>
  <si>
    <t>Ammonia</t>
  </si>
  <si>
    <t>Sulfur dioxide, in air</t>
  </si>
  <si>
    <t>Nitrogen oxides, in air</t>
  </si>
  <si>
    <t>Ammonia, in air</t>
  </si>
  <si>
    <t>Zinc, in air</t>
  </si>
  <si>
    <t>Particulates, &lt; 2.5 um</t>
  </si>
  <si>
    <t>Particulates, &gt; 2.5 um, and &lt; 10um</t>
  </si>
  <si>
    <t>Analysieren</t>
  </si>
  <si>
    <t>Bilanz</t>
  </si>
  <si>
    <t>1 kg Polutant emissions (of project 529 naturemade)</t>
  </si>
  <si>
    <t>Alle Kompartimente</t>
  </si>
  <si>
    <t>Stoff</t>
  </si>
  <si>
    <t>Kompartiment</t>
  </si>
  <si>
    <t>Polutant emissions</t>
  </si>
  <si>
    <t>Luft</t>
  </si>
  <si>
    <t>disposal, municipal solid waste, fly ash, to residual material landfill/kg/CH U</t>
  </si>
  <si>
    <t>disposal, municipal solid waste, fly ash, to slag compartment/kg/CH U</t>
  </si>
  <si>
    <t>disposal, municipal solid waste, SCR high dust/kg/CH U</t>
  </si>
  <si>
    <t>disposal, municipal solid waste, SCR low dust/kg/CH U</t>
  </si>
  <si>
    <t>disposal, municipal solid waste, scrubber sludge, to residual material landfill/kg/CH U</t>
  </si>
  <si>
    <t>disposal, municipal solid waste, scrubber sludge, to slag compartment/kg/CH U</t>
  </si>
  <si>
    <t>disposal, municipal solid waste, slag, to slag compartment/kg/CH U</t>
  </si>
  <si>
    <t>disposal, municipal solid waste, to municipal incineration with dry RGR/kg/CH U</t>
  </si>
  <si>
    <t>disposal, municipal solid waste, to municipal incineration with wet RGR/kg/CH U</t>
  </si>
  <si>
    <t>1 kWh threshold value recycling star, electricity/kWh/CH U (of project 529 naturemade)</t>
  </si>
  <si>
    <t>1 kg threshold value recycling star, lead concentrate/kg/CH U (of project 529 naturemade)</t>
  </si>
  <si>
    <t>1 kg threshold value recycling star, pig iron/kg/CH U (of project 529 naturemade)</t>
  </si>
  <si>
    <t>1 kg threshold value recycling star, primary aluminium/kg/CH U (of project 529 naturemade)</t>
  </si>
  <si>
    <t>1 kg threshold value recycling star, primary copper/kg/CH U (of project 529 naturemade)</t>
  </si>
  <si>
    <t>1 kg threshold value recycling star, primary gold/kg/CH U (of project 529 naturemade)</t>
  </si>
  <si>
    <t>1 kg threshold value recycling star, primary stainless steal/kg/CH U (of project 529 naturemade)</t>
  </si>
  <si>
    <t>1 kg threshold value recycling star, primary zinc/kg/CH U (of project 529 naturemade)</t>
  </si>
  <si>
    <t>1 kg threshold value recycling star, waste disposal/kg/CH U (of project 529 naturemade)</t>
  </si>
  <si>
    <t>1 kg threshold value recycling star, zinc concentrate/kg/CH U (of project 529 naturemade)</t>
  </si>
  <si>
    <t>threshold value recycling star, electricity/kWh/CH U</t>
  </si>
  <si>
    <t>threshold value recycling star, heat/MJ/CH U</t>
  </si>
  <si>
    <t>threshold value recycling star, lead concentrate/kg/CH U</t>
  </si>
  <si>
    <t>threshold value recycling star, pig iron/kg/CH U</t>
  </si>
  <si>
    <t>threshold value recycling star, primary aluminium/kg/CH U</t>
  </si>
  <si>
    <t>threshold value recycling star, primary copper/kg/CH U</t>
  </si>
  <si>
    <t>threshold value recycling star, primary gold/kg/CH U</t>
  </si>
  <si>
    <t>threshold value recycling star, primary stainless steal/kg/CH U</t>
  </si>
  <si>
    <t>threshold value recycling star, primary zinc/kg/CH U</t>
  </si>
  <si>
    <t>threshold value recycling star, waste disposal/kg/CH U</t>
  </si>
  <si>
    <t>threshold value recycling star, zinc concentrate/kg/CH U</t>
  </si>
  <si>
    <t>Stickoxide (NOx)</t>
  </si>
  <si>
    <t>treatment, fly ash, external FLUWA (without landfill)/CH U</t>
  </si>
  <si>
    <t>processing, hydroxid slugde from acid fly ash scrubbing  (waelz process)/kg/DE U</t>
  </si>
  <si>
    <t>treatment, fly ash, external FLUREC (without landfill)/CH U</t>
  </si>
  <si>
    <t>electricity, low voltage, at grid/kWh/CH U for slag descrapping</t>
  </si>
  <si>
    <t>Naturemade "Recycling Star" Prüfung</t>
  </si>
  <si>
    <t>Wärme, kWh</t>
  </si>
  <si>
    <t>1 kWh threshold value recycling star, heat/MJ/CH U (of project 529 naturemade)</t>
  </si>
  <si>
    <t>Strom</t>
  </si>
  <si>
    <t>Wärme</t>
  </si>
  <si>
    <t>Entsorgungsfunktion</t>
  </si>
  <si>
    <t>Bezugsjahr</t>
  </si>
  <si>
    <t>KVA (Name / Standort)</t>
  </si>
  <si>
    <t>Umweltbelastung absolut</t>
  </si>
  <si>
    <t xml:space="preserve">Charakterisierung der </t>
  </si>
  <si>
    <t>Hilfsstoffe + importierte Energieträger</t>
  </si>
  <si>
    <t>Propangas Bezug</t>
  </si>
  <si>
    <t>Erdgas Bezug</t>
  </si>
  <si>
    <t>Heizöl Bezug</t>
  </si>
  <si>
    <t>1 MJ natural gas, low pressure, at consumer/MJ/CH U (of project Ecoinvent unit processes)</t>
  </si>
  <si>
    <t xml:space="preserve">Product 28: </t>
  </si>
  <si>
    <t xml:space="preserve">Product 29: </t>
  </si>
  <si>
    <t>natural gas, low pressure, at consumer/MJ/CH U</t>
  </si>
  <si>
    <t>Light fuel oil, at regional storage/CH U</t>
  </si>
  <si>
    <t xml:space="preserve">Product 30: </t>
  </si>
  <si>
    <t>Wärme/Dampf Verkaufsmenge</t>
  </si>
  <si>
    <t>Andere Chemikalien (organisch; zB. TMT)</t>
  </si>
  <si>
    <t>SNCR</t>
  </si>
  <si>
    <t>Kalkhydrat Ca(OH)2</t>
  </si>
  <si>
    <t>CaO</t>
  </si>
  <si>
    <t>Salzsole, gesättigt</t>
  </si>
  <si>
    <t>(nur falls keine Differenzierung möglich)</t>
  </si>
  <si>
    <t>Compare</t>
  </si>
  <si>
    <t>Impact assessment</t>
  </si>
  <si>
    <t>1 kg Lime, hydrated, packed, at plant/CH U (of project Ecoinvent unit processes)</t>
  </si>
  <si>
    <t>1 kg Sodium chloride, brine solution, at plant/RER U (of project Ecoinvent unit processes)</t>
  </si>
  <si>
    <t xml:space="preserve">Product 31: </t>
  </si>
  <si>
    <t xml:space="preserve">Product 32: </t>
  </si>
  <si>
    <t xml:space="preserve">Product 33: </t>
  </si>
  <si>
    <t xml:space="preserve">Method: </t>
  </si>
  <si>
    <t xml:space="preserve">Indicator: </t>
  </si>
  <si>
    <t>Single score</t>
  </si>
  <si>
    <t>Never</t>
  </si>
  <si>
    <t>Yes</t>
  </si>
  <si>
    <t xml:space="preserve">Exclude infrastructure processes: </t>
  </si>
  <si>
    <t>No</t>
  </si>
  <si>
    <t xml:space="preserve">Exclude long-term emissions: </t>
  </si>
  <si>
    <t>Damage category</t>
  </si>
  <si>
    <t>Ascending</t>
  </si>
  <si>
    <t>Unit</t>
  </si>
  <si>
    <t>disposal, municipal solid waste, SNCR/CH U</t>
  </si>
  <si>
    <t>Lime, hydrated, packed, at plant/CH U</t>
  </si>
  <si>
    <t>Sodium chloride, brine solution, at plant/RER U</t>
  </si>
  <si>
    <t>Characterisation</t>
  </si>
  <si>
    <t>Impact category</t>
  </si>
  <si>
    <t xml:space="preserve">                                                                                                                                                                                                                                                                                                                                                                                                                                                                                                                                                                                                                                                                                                                                                                                                                                                                                                                                                                                                                                                                                                                                                                                                                                                                                                                                                                                                                                                                                                                                                                                                                                                                                                                                                                                                                                                                                                                                                                                                                                                                                                                                                                                                                                                  </t>
  </si>
  <si>
    <t>Eisenmetalle (Total an Eisen und Edelstahl)</t>
  </si>
  <si>
    <t>Nichteisenmetalle (Total an Kupfer und Aluminium)</t>
  </si>
  <si>
    <t>Emissionen in Luft</t>
  </si>
  <si>
    <t>Strom Verkaufsmenge (inkl. Regelleistung)</t>
  </si>
  <si>
    <r>
      <t>(falls nicht bekannt; default: 6*10</t>
    </r>
    <r>
      <rPr>
        <u/>
        <vertAlign val="superscript"/>
        <sz val="11"/>
        <rFont val="Arial"/>
        <family val="2"/>
      </rPr>
      <t>-6</t>
    </r>
    <r>
      <rPr>
        <u/>
        <sz val="11"/>
        <rFont val="Arial"/>
        <family val="2"/>
      </rPr>
      <t xml:space="preserve"> kg/ kg Abfall)</t>
    </r>
  </si>
  <si>
    <t>Alle hellen Felder im Blatt „Eingabe“ müssen ausgefüllt werden. Bei Eingabe einer Null erscheint die für die Eingabe geforderte Einheit. Aus den Drop-Down Menüs müssen die passenden Anlagenspezifikationen ausgewählt werden.</t>
  </si>
  <si>
    <t>Ergebnis</t>
  </si>
  <si>
    <t xml:space="preserve">Die Umweltdeklaration weist die Umweltbelastung einer Kehrrichtverbrennungsanlage grob aus. Dabei werden die Umweltindikatoren Eco-indicator 99, Klimawandel 2013, Nicht-erneuerbarer Energiebedarf (fossil, nuklear) und ökologische Knappheit 2013 berechnet. </t>
  </si>
  <si>
    <t>Das Ergebnisblatt des Kennwertmodells besteht aus einer Graphik, welche die totale Umweltbelastung aufgeteilt in die einzelnen Teilbereiche, die Allokation der Umweltbelastung auf die einzelnen Produkte, sowie den Prüfwert als Summe der Grenzwerte einer Anlage in Eco-indicator-Punkte aufzeigt. Rechts daneben liegt eine Charakterisierung der Anlage vor, welche auf die Angaben im Eingabeblatt zurückgreift. Die Differenz zwischen der totalen Umweltbelastung und dem Prüfwert wird berechnet und gibt Auskunft darüber, ob eine Anlage das “Recycling star“ Label erfüllt oder nicht.</t>
  </si>
  <si>
    <t>Bei Fragen und Rückmeldungen wenden Sie sich bitte an die naturemade Geschäftsstelle. Bitte schicken Sie hierzu die ausgefüllte Excel-Tabelle, abgespeichert unter neuem Namen unter Beibehaltung der Versionennummer an folgende Adresse:</t>
  </si>
  <si>
    <t>Sekundäraluminium, kg</t>
  </si>
  <si>
    <t>Sekundärkupfer, kg</t>
  </si>
  <si>
    <t>Sekundär-Gold, kg</t>
  </si>
  <si>
    <t>Sekundär-Edelstahl, kg</t>
  </si>
  <si>
    <t>Eisenschrott, kg</t>
  </si>
  <si>
    <t>Sekundärzink, kg</t>
  </si>
  <si>
    <t>Sekundär-Zinkkonzentrat, kg</t>
  </si>
  <si>
    <t>Sekundär-Bleikonzentrat, kg</t>
  </si>
  <si>
    <t>Verbrennung von Siedlungsabfall in</t>
  </si>
  <si>
    <t xml:space="preserve">Product 34: </t>
  </si>
  <si>
    <t>Abfallimport aus Ausland</t>
  </si>
  <si>
    <t>Importierte Menge per Bahn</t>
  </si>
  <si>
    <t>Importierte Menge per LKW</t>
  </si>
  <si>
    <t>Import von Abfall</t>
  </si>
  <si>
    <t xml:space="preserve"> Umweltbelastung absolut</t>
  </si>
  <si>
    <t>disposal, municipal solid waste, fly ash, to underground deposit/kg/CH U</t>
  </si>
  <si>
    <t>disposal, municipal solid waste,GFresidue, to underground deposit/CH U</t>
  </si>
  <si>
    <t>Durchschnittliche Distanz [km]</t>
  </si>
  <si>
    <t>[Menge/ t Abfall]</t>
  </si>
  <si>
    <t>[g/ t Abfall]</t>
  </si>
  <si>
    <t>[kWh/ t Abfall]</t>
  </si>
  <si>
    <t>[kg/ t Abfall]</t>
  </si>
  <si>
    <t>Allokation der Umweltbelastung auf die Produkte</t>
  </si>
  <si>
    <t>disposal, municipal solid waste,GFresidue, to underground deposit/kg/CH U</t>
  </si>
  <si>
    <t xml:space="preserve"> Umweltbelastung pro Tonne Abfall</t>
  </si>
  <si>
    <t>Umweltbelastung pro Tonne Abfall</t>
  </si>
  <si>
    <t>Im Block links oben wird die Umweltdeklaration der Anlage in verschiedene Teilbereiche aufgeteilt. Rechts oben stehen die Gesamtbelastungen pro Jahr für die vier verschiedenen Umweltindikatoren und die verschiedenen Teilbereiche der Anlage. Im Prüfwert-Block wird die erlaubte Umweltbelastung der gesamten Anlage in Eco-Indicator 99 Punkten angegeben (zum Beispiel 1‘226‘003 Pkt, 100 %) und deren Aufteilung auf die Menge der erzeugten Energie und der zurückgewonnenen Metalle . Rechts unten wird die Umweltdeklaration der Anlage mit den Belastungen der erzeugten Energie pro kWh und der zurückgewonnenen Metalle pro kg gezeigt.</t>
  </si>
  <si>
    <t>Andere Chemikalien (anorganisch) Wasserstoffperoxid</t>
  </si>
  <si>
    <t>Wasser (Frischwasserverbrauch)</t>
  </si>
  <si>
    <t>Abfallmenge (Gesamt) Verbranntemenge</t>
  </si>
  <si>
    <t xml:space="preserve">Partikel (PM)    </t>
  </si>
  <si>
    <t>CO2 fossil [kg / kg Abfall]</t>
  </si>
  <si>
    <t>Fossiler Abfallanteil</t>
  </si>
  <si>
    <t xml:space="preserve">Doka G. (2013) Updates to Life Cycle Inventories of Waste Treatment Services - part II: waste incineration. Doka Life Cycle Assessments, Zürich, Switzerland. </t>
  </si>
  <si>
    <t>1 kg disposal, municipal solid waste, fly ash, to residual material landfill/kg/CH U (of project naturemade)</t>
  </si>
  <si>
    <t>1 kg disposal, municipal solid waste, fly ash, to slag compartment/kg/CH U (of project naturemade)</t>
  </si>
  <si>
    <t>1 kg disposal, municipal solid waste, SCR high dust/kg/CH U (of project naturemade)</t>
  </si>
  <si>
    <t>1 kg disposal, municipal solid waste, SCR low dust/kg/CH U (of project naturemade)</t>
  </si>
  <si>
    <t>1 kg disposal, municipal solid waste, SNCR/kg/CH U (of project naturemade)</t>
  </si>
  <si>
    <t>1 kg disposal, municipal solid waste, scrubber sludge, to residual material landfill/kg/CH U (of project naturemade)</t>
  </si>
  <si>
    <t>1 kg disposal, municipal solid waste, scrubber sludge, to slag compartment/kg/CH U (of project naturemade)</t>
  </si>
  <si>
    <t>1 kg disposal, municipal solid waste, slag, to slag compartment/kg/CH U (of project naturemade)</t>
  </si>
  <si>
    <t>1 kg disposal, municipal solid waste, to municipal incineration with dry RGR/kg/CH U (of project naturemade)</t>
  </si>
  <si>
    <t>1 kg disposal, municipal solid waste, to municipal incineration with wet RGR/kg/CH U (of project naturemade)</t>
  </si>
  <si>
    <t>1 kg treatment, fly ash, external FLUWA (without landfill)/CH U (of project naturemade)</t>
  </si>
  <si>
    <t>1 kg processing, hydroxid slugde from acid fly ash scrubbing  (waelz process)/kg/DE U (of project naturemade)</t>
  </si>
  <si>
    <t>1 kg treatment, fly ash, external FLUREC (without landfill)/CH U (of project naturemade)</t>
  </si>
  <si>
    <t>1 kg propane/ butane, at refinery/kg/CH U (of project Ecoinvent unit processes)</t>
  </si>
  <si>
    <t>1 kg light fuel oil, at regional storage/kg/CH U (of project Ecoinvent unit processes)</t>
  </si>
  <si>
    <t>1 kg disposal, municipal solid waste, fly ash, to underground deposit/kg/CH U (of project naturemade)</t>
  </si>
  <si>
    <t>1 kg disposal, municipal solid waste,GFresidue, to underground deposit/kg/CH U (of project naturemade)</t>
  </si>
  <si>
    <t>Eco-indicator 99 (H) V2.10 / Europe EI 99 H/A</t>
  </si>
  <si>
    <t>disposal, municipal solid waste, SNCR/kg/CH U</t>
  </si>
  <si>
    <t>propane/ butane, at refinery/kg/CH U</t>
  </si>
  <si>
    <t>light fuel oil, at regional storage/kg/CH U</t>
  </si>
  <si>
    <t>Gemäss Doka besteht durchschnittlicher Siedlungsabfall zu 62.25 % aus biogenem und zu 37.75% aus fossilem Abfall</t>
  </si>
  <si>
    <t>IPCC 2013 GWP 100a V1.02 / IPCC GWP 100a</t>
  </si>
  <si>
    <t>Ecological Scarcity 2013, categories V1.05 / Ecological scarcity 2013</t>
  </si>
  <si>
    <t>Land use, high CF for intensive forest</t>
  </si>
  <si>
    <t>Global warming, specific CF for aviation</t>
  </si>
  <si>
    <t xml:space="preserve">Main air pollutants and PM, specific CF </t>
  </si>
  <si>
    <r>
      <t>(falls nicht bekannt; default: 5.30*10</t>
    </r>
    <r>
      <rPr>
        <u/>
        <vertAlign val="superscript"/>
        <sz val="11"/>
        <rFont val="Arial"/>
        <family val="2"/>
      </rPr>
      <t>-7</t>
    </r>
    <r>
      <rPr>
        <u/>
        <sz val="11"/>
        <rFont val="Arial"/>
        <family val="2"/>
      </rPr>
      <t xml:space="preserve"> kg/ kg Abfall)</t>
    </r>
  </si>
  <si>
    <t>Valentin Graf</t>
  </si>
  <si>
    <t>Verein für umweltgerechte Energie VUE naturemade</t>
  </si>
  <si>
    <t xml:space="preserve">valentin.graf@naturemade.ch </t>
  </si>
  <si>
    <t>info@treeze.ch</t>
  </si>
  <si>
    <t>Livia Ramseier</t>
  </si>
  <si>
    <t>Heizwert</t>
  </si>
  <si>
    <t>Durchschnittliche unterer Heizwert Abfall</t>
  </si>
  <si>
    <t>Kriterium GK-KVA1 Grenzwert Umweltbelastung erfüllt</t>
  </si>
  <si>
    <t>Kriterium GK-KVA1 Grenzwert Umweltbelastung nicht erfüllt</t>
  </si>
  <si>
    <t>Energienettoeffizienz ENE</t>
  </si>
  <si>
    <t>Energie-nettoeffizienz ENE</t>
  </si>
  <si>
    <t>Kriterium Energienettoeffizienz ENE</t>
  </si>
  <si>
    <t>Kriterium LK-KVA5 Energienettoeffizienz ENE erfüllt</t>
  </si>
  <si>
    <t>Kriterium LK-KVA5 Energienettoeffizienz ENE nicht erfüllt</t>
  </si>
  <si>
    <t>Formel gemäss DIRECTIVE 2008/98/EC OF THE EUROPEAN PARLIAMENT AND OF THE COUNCIL of 19 November 2008 on waste and repealing certain Directives</t>
  </si>
  <si>
    <t>Energy efficiency = (Ep-(Ef+Ei))/(0.97*(Ew+Ef))</t>
  </si>
  <si>
    <t>PDF-S. 22</t>
  </si>
  <si>
    <t>Ep Strom</t>
  </si>
  <si>
    <t>Faktor Ep Strom</t>
  </si>
  <si>
    <t>Faktor Ep Wärme</t>
  </si>
  <si>
    <t>Ep Wärme</t>
  </si>
  <si>
    <t xml:space="preserve">Ep total </t>
  </si>
  <si>
    <t>MWh in GJ</t>
  </si>
  <si>
    <t>GJ</t>
  </si>
  <si>
    <t>Ef Erdgas</t>
  </si>
  <si>
    <t>Ef Heizöl</t>
  </si>
  <si>
    <t>Ef total</t>
  </si>
  <si>
    <t>Heizwert Erdgas</t>
  </si>
  <si>
    <t>MJ/m3</t>
  </si>
  <si>
    <t>Dichte Heizöl</t>
  </si>
  <si>
    <t>kg/l</t>
  </si>
  <si>
    <t>Heizwert Heizöl</t>
  </si>
  <si>
    <t>MJ/kg</t>
  </si>
  <si>
    <t>MJ in GJ</t>
  </si>
  <si>
    <t>[MJ/kg]</t>
  </si>
  <si>
    <t>t in kg</t>
  </si>
  <si>
    <t>ENE</t>
  </si>
  <si>
    <t>Kennwertmodell erstellt durch Livia Ramseier, treeze Ltd., März 2020</t>
  </si>
  <si>
    <t>Durchschnittlicher unterer Heizwert Abfall</t>
  </si>
  <si>
    <t>Ew Waste</t>
  </si>
  <si>
    <t>Ei Import</t>
  </si>
  <si>
    <t>Energieverluste Rostasche und Strahlung</t>
  </si>
  <si>
    <t>Ef Propan</t>
  </si>
  <si>
    <t>Strombezug aus Netz (#23)</t>
  </si>
  <si>
    <t>Heizwert Propangas</t>
  </si>
  <si>
    <t>Dichte Propan</t>
  </si>
  <si>
    <t xml:space="preserve">Faktenblatt CO2-Emissionsfaktoren des Treibhausgasinventars der Schweiz. 15 April 2019. </t>
  </si>
  <si>
    <t>Faktenblatt CO2-Emissionsfaktoren des Treibhausgasinventars der Schweiz. 15 April 2019. Wird nicht verwendet</t>
  </si>
  <si>
    <t>Bitte überprüfen Sie die Eingaben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</si>
</sst>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3" formatCode="_ * #,##0.00_ ;_ * \-#,##0.00_ ;_ * &quot;-&quot;??_ ;_ @_ "/>
    <numFmt numFmtId="164" formatCode="0.0%"/>
    <numFmt numFmtId="165" formatCode="#,##0&quot; m3&quot;;[Red]#,##0&quot; m3&quot;"/>
    <numFmt numFmtId="166" formatCode="#,##0&quot; km&quot;;[Red]#,##0&quot; km&quot;"/>
    <numFmt numFmtId="167" formatCode="#,##0&quot; kWh&quot;;[Red]#,##0&quot; kWh&quot;"/>
    <numFmt numFmtId="168" formatCode="_ * #,##0_ ;_ * \-#,##0_ ;_ * &quot;-&quot;??_ ;_ @_ "/>
    <numFmt numFmtId="169" formatCode="_ * #,##0.000_ ;_ * \-#,##0.000_ ;_ * &quot;-&quot;??_ ;_ @_ "/>
    <numFmt numFmtId="170" formatCode="_ * #,##0.0000_ ;_ * \-#,##0.0000_ ;_ * &quot;-&quot;??_ ;_ @_ "/>
    <numFmt numFmtId="171" formatCode="_(* #,##0.00_);_(* \(#,##0.00\);_(* &quot;-&quot;??_);_(@_)"/>
    <numFmt numFmtId="172" formatCode="_(* #,##0_);_(* \(#,##0\);_(* &quot;-&quot;_);_(@_)"/>
    <numFmt numFmtId="173" formatCode="_(&quot;$&quot;* #,##0.00_);_(&quot;$&quot;* \(#,##0.00\);_(&quot;$&quot;* &quot;-&quot;??_);_(@_)"/>
    <numFmt numFmtId="174" formatCode="_(&quot;$&quot;* #,##0_);_(&quot;$&quot;* \(#,##0\);_(&quot;$&quot;* &quot;-&quot;_);_(@_)"/>
    <numFmt numFmtId="175" formatCode="0.00E+0;[=0]&quot;0&quot;;0.00E+0"/>
    <numFmt numFmtId="176" formatCode="0.0%;[=0]&quot;0%&quot;;0.0%"/>
    <numFmt numFmtId="177" formatCode="#,##0.0&quot; dt&quot;;[Red]#,##0.0&quot; dt&quot;"/>
    <numFmt numFmtId="178" formatCode="#,##0&quot; kg&quot;;[Red]#,##0&quot; kg&quot;"/>
    <numFmt numFmtId="179" formatCode="#,##0&quot; m2a&quot;;[Red]#,##0&quot; m2a&quot;"/>
    <numFmt numFmtId="180" formatCode="#,##0.0&quot; ZKh&quot;;[Red]#,##0.0&quot; ZKh&quot;"/>
    <numFmt numFmtId="181" formatCode="#,##0&quot; m2&quot;;[Red]#,##0&quot; m2&quot;"/>
    <numFmt numFmtId="182" formatCode="#,##0&quot; Liter&quot;;[Red]#,##0&quot; Liter&quot;"/>
    <numFmt numFmtId="183" formatCode="0.00%;[=0]&quot;0&quot;;General"/>
    <numFmt numFmtId="184" formatCode="[=0]&quot;&quot;;General"/>
    <numFmt numFmtId="185" formatCode="0.00E+0;[=0]&quot;-&quot;;0.00E+0"/>
    <numFmt numFmtId="186" formatCode="#,##0&quot; t&quot;;[Red]#,##0&quot; t&quot;"/>
    <numFmt numFmtId="187" formatCode="#,##0&quot; CHF&quot;;[Red]\-#,##0&quot; CHF&quot;"/>
    <numFmt numFmtId="188" formatCode="0.00E+0;[=0]&quot;0&quot;;General"/>
    <numFmt numFmtId="189" formatCode="#,##0&quot; tkm&quot;;[Red]#,##0&quot; tkm&quot;"/>
    <numFmt numFmtId="190" formatCode="0.000E+00"/>
    <numFmt numFmtId="191" formatCode="#,##0.0&quot; t&quot;;[Red]#,##0.0&quot; t&quot;"/>
    <numFmt numFmtId="192" formatCode="#,##0&quot; mg/Nm3&quot;;[Red]#,##0&quot; kWh&quot;"/>
    <numFmt numFmtId="193" formatCode="#,##0.0&quot; Sm3&quot;;[Red]#,##0.0&quot; Sm3&quot;"/>
    <numFmt numFmtId="194" formatCode="0.0000"/>
    <numFmt numFmtId="195" formatCode="#,##0&quot; MWh&quot;;[Red]#,##0&quot; MWh&quot;"/>
    <numFmt numFmtId="196" formatCode="#,##0.0&quot; Liter&quot;;[Red]#,##0.0&quot; Liter&quot;"/>
    <numFmt numFmtId="197" formatCode="#,##0.0&quot; m3&quot;;[Red]#,##0.0&quot; m3&quot;"/>
    <numFmt numFmtId="198" formatCode="#,##0.0&quot; kWh&quot;;[Red]#,##0.0&quot; kWh&quot;"/>
    <numFmt numFmtId="199" formatCode="#,##0.0&quot; g&quot;;[Red]#,##0.0&quot; g&quot;"/>
    <numFmt numFmtId="200" formatCode="#,##0.0&quot; kg&quot;;[Red]#,##0.0&quot; kg&quot;"/>
    <numFmt numFmtId="201" formatCode="#,##0.000&quot; kg&quot;;[Red]#,##0.000&quot; kg&quot;"/>
    <numFmt numFmtId="202" formatCode="#,##0.0&quot; MJ/kg&quot;;[Red]#,##0.0&quot; MJ/kg&quot;"/>
    <numFmt numFmtId="203" formatCode="#,##0.00&quot; t&quot;;[Red]#,##0.00&quot; t&quot;"/>
    <numFmt numFmtId="204" formatCode="#,##0.000&quot; t&quot;;[Red]#,##0.000&quot; t&quot;"/>
    <numFmt numFmtId="205" formatCode="#,##0.00&quot; kg&quot;;[Red]#,##0.00&quot; kg&quot;"/>
  </numFmts>
  <fonts count="35">
    <font>
      <sz val="10"/>
      <name val="Arial"/>
    </font>
    <font>
      <sz val="10"/>
      <name val="Arial"/>
      <family val="2"/>
    </font>
    <font>
      <sz val="10"/>
      <name val="Arial"/>
      <family val="2"/>
    </font>
    <font>
      <sz val="9"/>
      <name val="Helvetica"/>
      <family val="2"/>
    </font>
    <font>
      <b/>
      <sz val="16"/>
      <name val="Arial"/>
      <family val="2"/>
    </font>
    <font>
      <sz val="10"/>
      <name val="Helvetica"/>
      <family val="2"/>
    </font>
    <font>
      <u/>
      <sz val="10"/>
      <color indexed="12"/>
      <name val="Arial"/>
      <family val="2"/>
    </font>
    <font>
      <sz val="10"/>
      <name val="Helv"/>
    </font>
    <font>
      <b/>
      <sz val="20"/>
      <name val="Helvetica"/>
      <family val="2"/>
    </font>
    <font>
      <b/>
      <sz val="10"/>
      <name val="Helvetica"/>
      <family val="2"/>
    </font>
    <font>
      <sz val="11"/>
      <name val="Times New Roman"/>
      <family val="1"/>
    </font>
    <font>
      <b/>
      <sz val="14"/>
      <name val="Arial"/>
      <family val="2"/>
    </font>
    <font>
      <sz val="9"/>
      <name val="Times New Roman"/>
      <family val="1"/>
    </font>
    <font>
      <b/>
      <sz val="9"/>
      <name val="Times New Roman"/>
      <family val="1"/>
    </font>
    <font>
      <sz val="10"/>
      <color indexed="8"/>
      <name val="MS Sans Serif"/>
      <family val="2"/>
    </font>
    <font>
      <sz val="9"/>
      <name val="Helv"/>
    </font>
    <font>
      <sz val="9"/>
      <name val="Arial"/>
      <family val="2"/>
    </font>
    <font>
      <b/>
      <sz val="12"/>
      <name val="Times New Roman"/>
      <family val="1"/>
    </font>
    <font>
      <sz val="8"/>
      <name val="Helvetica"/>
      <family val="2"/>
    </font>
    <font>
      <sz val="7"/>
      <name val="Helv"/>
      <family val="2"/>
    </font>
    <font>
      <sz val="9"/>
      <name val="Helv"/>
      <family val="2"/>
    </font>
    <font>
      <sz val="10"/>
      <name val="Geneva"/>
    </font>
    <font>
      <sz val="10"/>
      <name val="Trebuchet MS"/>
      <family val="2"/>
    </font>
    <font>
      <sz val="9"/>
      <color indexed="81"/>
      <name val="Tahoma"/>
      <family val="2"/>
    </font>
    <font>
      <b/>
      <sz val="9"/>
      <color indexed="81"/>
      <name val="Tahoma"/>
      <family val="2"/>
    </font>
    <font>
      <b/>
      <sz val="11"/>
      <name val="Arial"/>
      <family val="2"/>
    </font>
    <font>
      <sz val="11"/>
      <name val="Arial"/>
      <family val="2"/>
    </font>
    <font>
      <u/>
      <sz val="11"/>
      <color indexed="12"/>
      <name val="Arial"/>
      <family val="2"/>
    </font>
    <font>
      <u/>
      <sz val="11"/>
      <name val="Arial"/>
      <family val="2"/>
    </font>
    <font>
      <sz val="11"/>
      <name val="Helvetica"/>
    </font>
    <font>
      <sz val="11"/>
      <color rgb="FFFF0000"/>
      <name val="Arial"/>
      <family val="2"/>
    </font>
    <font>
      <u/>
      <vertAlign val="superscript"/>
      <sz val="11"/>
      <name val="Arial"/>
      <family val="2"/>
    </font>
    <font>
      <b/>
      <sz val="10"/>
      <name val="Helvetica"/>
    </font>
    <font>
      <sz val="10"/>
      <color rgb="FF000000"/>
      <name val="Geneva"/>
    </font>
    <font>
      <u/>
      <sz val="11"/>
      <color rgb="FFFF0000"/>
      <name val="Arial"/>
      <family val="2"/>
    </font>
  </fonts>
  <fills count="14">
    <fill>
      <patternFill patternType="none"/>
    </fill>
    <fill>
      <patternFill patternType="gray125"/>
    </fill>
    <fill>
      <patternFill patternType="solid">
        <fgColor indexed="47"/>
        <bgColor indexed="64"/>
      </patternFill>
    </fill>
    <fill>
      <patternFill patternType="solid">
        <fgColor indexed="45"/>
        <bgColor indexed="64"/>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rgb="FFFFFF0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auto="1"/>
      </bottom>
      <diagonal/>
    </border>
    <border>
      <left/>
      <right/>
      <top style="medium">
        <color auto="1"/>
      </top>
      <bottom/>
      <diagonal/>
    </border>
    <border>
      <left/>
      <right/>
      <top/>
      <bottom style="double">
        <color auto="1"/>
      </bottom>
      <diagonal/>
    </border>
    <border>
      <left/>
      <right/>
      <top style="thin">
        <color auto="1"/>
      </top>
      <bottom/>
      <diagonal/>
    </border>
  </borders>
  <cellStyleXfs count="49">
    <xf numFmtId="0" fontId="0" fillId="0" borderId="0"/>
    <xf numFmtId="49" fontId="12" fillId="0" borderId="1" applyNumberFormat="0" applyFont="0" applyFill="0" applyBorder="0" applyProtection="0">
      <alignment horizontal="left" vertical="center" indent="2"/>
    </xf>
    <xf numFmtId="49" fontId="12" fillId="0" borderId="2" applyNumberFormat="0" applyFont="0" applyFill="0" applyBorder="0" applyProtection="0">
      <alignment horizontal="left" vertical="center" indent="5"/>
    </xf>
    <xf numFmtId="0" fontId="3" fillId="2" borderId="0">
      <alignment horizontal="left" vertical="center"/>
    </xf>
    <xf numFmtId="4" fontId="13" fillId="0" borderId="3" applyFill="0" applyBorder="0" applyProtection="0">
      <alignment horizontal="right" vertical="center"/>
    </xf>
    <xf numFmtId="187" fontId="2" fillId="0" borderId="0">
      <alignment vertical="center"/>
      <protection locked="0"/>
    </xf>
    <xf numFmtId="172" fontId="14" fillId="0" borderId="0" applyFont="0" applyFill="0" applyBorder="0" applyAlignment="0" applyProtection="0"/>
    <xf numFmtId="171" fontId="14" fillId="0" borderId="0" applyFont="0" applyFill="0" applyBorder="0" applyAlignment="0" applyProtection="0"/>
    <xf numFmtId="0" fontId="19" fillId="0" borderId="0">
      <alignment vertical="center"/>
    </xf>
    <xf numFmtId="174" fontId="14" fillId="0" borderId="0" applyFont="0" applyFill="0" applyBorder="0" applyAlignment="0" applyProtection="0"/>
    <xf numFmtId="173" fontId="14" fillId="0" borderId="0" applyFont="0" applyFill="0" applyBorder="0" applyAlignment="0" applyProtection="0"/>
    <xf numFmtId="43" fontId="1" fillId="0" borderId="0" applyFont="0" applyFill="0" applyBorder="0" applyAlignment="0" applyProtection="0"/>
    <xf numFmtId="177" fontId="15" fillId="0" borderId="0"/>
    <xf numFmtId="0" fontId="3" fillId="3" borderId="0">
      <alignment horizontal="center" vertical="center" wrapText="1"/>
    </xf>
    <xf numFmtId="185" fontId="20" fillId="4" borderId="0">
      <alignment horizontal="center" vertical="center"/>
    </xf>
    <xf numFmtId="0" fontId="16" fillId="0" borderId="0" applyFont="0" applyFill="0" applyBorder="0" applyAlignment="0" applyProtection="0">
      <alignment vertical="center"/>
    </xf>
    <xf numFmtId="0" fontId="17" fillId="0" borderId="0" applyNumberFormat="0" applyFill="0" applyBorder="0" applyAlignment="0" applyProtection="0"/>
    <xf numFmtId="0" fontId="6" fillId="0" borderId="0" applyNumberFormat="0" applyFill="0" applyBorder="0" applyAlignment="0" applyProtection="0">
      <alignment vertical="top"/>
      <protection locked="0"/>
    </xf>
    <xf numFmtId="178" fontId="2" fillId="0" borderId="0">
      <alignment vertical="center"/>
    </xf>
    <xf numFmtId="166" fontId="2" fillId="0" borderId="0">
      <alignment vertical="center"/>
      <protection locked="0"/>
    </xf>
    <xf numFmtId="167" fontId="2" fillId="0" borderId="0">
      <alignment vertical="center"/>
    </xf>
    <xf numFmtId="182" fontId="7" fillId="0" borderId="0"/>
    <xf numFmtId="0" fontId="3" fillId="4" borderId="0">
      <alignment horizontal="left" vertical="center"/>
    </xf>
    <xf numFmtId="181" fontId="7" fillId="0" borderId="0"/>
    <xf numFmtId="179" fontId="15" fillId="0" borderId="0"/>
    <xf numFmtId="165" fontId="2" fillId="0" borderId="0">
      <alignment vertical="center"/>
    </xf>
    <xf numFmtId="175" fontId="16" fillId="0" borderId="0">
      <alignment horizontal="center" vertical="center" wrapText="1"/>
    </xf>
    <xf numFmtId="183" fontId="15" fillId="0" borderId="0"/>
    <xf numFmtId="188" fontId="15" fillId="0" borderId="0"/>
    <xf numFmtId="4" fontId="12" fillId="0" borderId="1" applyFill="0" applyBorder="0" applyProtection="0">
      <alignment horizontal="right" vertical="center"/>
    </xf>
    <xf numFmtId="49" fontId="13" fillId="0" borderId="1" applyNumberFormat="0" applyFill="0" applyBorder="0" applyProtection="0">
      <alignment horizontal="left" vertical="center"/>
    </xf>
    <xf numFmtId="0" fontId="12" fillId="0" borderId="1" applyNumberFormat="0" applyFill="0" applyAlignment="0" applyProtection="0"/>
    <xf numFmtId="0" fontId="14" fillId="0" borderId="0"/>
    <xf numFmtId="0" fontId="21" fillId="0" borderId="4" applyFont="0" applyFill="0" applyBorder="0" applyProtection="0">
      <alignment horizontal="center"/>
    </xf>
    <xf numFmtId="9" fontId="2" fillId="0" borderId="0" applyFont="0" applyFill="0" applyBorder="0" applyProtection="0">
      <alignment horizontal="center" vertical="center"/>
    </xf>
    <xf numFmtId="176" fontId="2" fillId="0" borderId="0"/>
    <xf numFmtId="164" fontId="1" fillId="5" borderId="0">
      <alignment horizontal="center" vertical="center"/>
    </xf>
    <xf numFmtId="193" fontId="2" fillId="0" borderId="0">
      <alignment vertical="center"/>
    </xf>
    <xf numFmtId="191" fontId="2" fillId="0" borderId="0">
      <alignment vertical="center"/>
    </xf>
    <xf numFmtId="184" fontId="3" fillId="0" borderId="0">
      <alignment vertical="center" wrapText="1"/>
    </xf>
    <xf numFmtId="0" fontId="22" fillId="6" borderId="0">
      <alignment vertical="center" wrapText="1"/>
    </xf>
    <xf numFmtId="189" fontId="2" fillId="2" borderId="0">
      <alignment horizontal="right" vertical="center"/>
    </xf>
    <xf numFmtId="184" fontId="18" fillId="0" borderId="0">
      <alignment horizontal="center" vertical="center"/>
    </xf>
    <xf numFmtId="0" fontId="3" fillId="7" borderId="0">
      <alignment horizontal="left" vertical="center"/>
    </xf>
    <xf numFmtId="11" fontId="15" fillId="0" borderId="0"/>
    <xf numFmtId="11" fontId="1" fillId="0" borderId="0">
      <alignment vertical="center" wrapText="1"/>
    </xf>
    <xf numFmtId="175" fontId="2" fillId="0" borderId="0">
      <alignment horizontal="center" vertical="center"/>
    </xf>
    <xf numFmtId="185" fontId="2" fillId="0" borderId="0">
      <alignment horizontal="center" vertical="center"/>
    </xf>
    <xf numFmtId="180" fontId="7" fillId="0" borderId="0"/>
  </cellStyleXfs>
  <cellXfs count="228">
    <xf numFmtId="0" fontId="0" fillId="0" borderId="0" xfId="0"/>
    <xf numFmtId="0" fontId="5" fillId="6" borderId="0" xfId="0" applyFont="1" applyFill="1"/>
    <xf numFmtId="0" fontId="9" fillId="6" borderId="0" xfId="0" applyFont="1" applyFill="1" applyAlignment="1">
      <alignment vertical="center" wrapText="1"/>
    </xf>
    <xf numFmtId="0" fontId="5" fillId="6" borderId="0" xfId="0" applyFont="1" applyFill="1" applyAlignment="1">
      <alignment vertical="center" wrapText="1"/>
    </xf>
    <xf numFmtId="0" fontId="2" fillId="0" borderId="0" xfId="0" applyFont="1" applyAlignment="1" applyProtection="1">
      <alignment vertical="center"/>
    </xf>
    <xf numFmtId="0" fontId="5" fillId="0" borderId="0" xfId="0" applyFont="1" applyAlignment="1">
      <alignment vertical="center" wrapText="1"/>
    </xf>
    <xf numFmtId="0" fontId="5" fillId="6" borderId="0" xfId="0" applyFont="1" applyFill="1" applyAlignment="1">
      <alignment wrapText="1"/>
    </xf>
    <xf numFmtId="0" fontId="9" fillId="0" borderId="0" xfId="0" applyFont="1" applyAlignment="1">
      <alignment wrapText="1"/>
    </xf>
    <xf numFmtId="0" fontId="5" fillId="0" borderId="0" xfId="0" applyFont="1" applyAlignment="1">
      <alignment horizontal="justify" vertical="center" wrapText="1"/>
    </xf>
    <xf numFmtId="0" fontId="9" fillId="6" borderId="0" xfId="0" applyFont="1" applyFill="1" applyAlignment="1">
      <alignment wrapText="1"/>
    </xf>
    <xf numFmtId="0" fontId="10" fillId="0" borderId="0" xfId="0" applyFont="1" applyAlignment="1">
      <alignment horizontal="justify" vertical="center" wrapText="1"/>
    </xf>
    <xf numFmtId="0" fontId="6" fillId="0" borderId="0" xfId="17" applyAlignment="1" applyProtection="1"/>
    <xf numFmtId="0" fontId="2" fillId="0" borderId="0" xfId="0" applyFont="1" applyProtection="1"/>
    <xf numFmtId="0" fontId="2" fillId="0" borderId="0" xfId="0" applyFont="1" applyAlignment="1" applyProtection="1">
      <alignment horizontal="center"/>
    </xf>
    <xf numFmtId="0" fontId="2" fillId="0" borderId="0" xfId="0" applyFont="1" applyFill="1" applyProtection="1"/>
    <xf numFmtId="0" fontId="2" fillId="0" borderId="0" xfId="0" applyFont="1" applyAlignment="1" applyProtection="1">
      <alignment horizontal="left"/>
    </xf>
    <xf numFmtId="0" fontId="1" fillId="0" borderId="0" xfId="0" applyFont="1"/>
    <xf numFmtId="0" fontId="1" fillId="0" borderId="0" xfId="0" applyFont="1" applyAlignment="1" applyProtection="1">
      <alignment vertical="center"/>
    </xf>
    <xf numFmtId="0" fontId="1" fillId="0" borderId="0" xfId="0" applyFont="1" applyAlignment="1" applyProtection="1">
      <alignment horizontal="left" vertical="center"/>
    </xf>
    <xf numFmtId="0" fontId="1" fillId="0" borderId="0" xfId="0" applyFont="1" applyProtection="1"/>
    <xf numFmtId="0" fontId="1" fillId="6" borderId="0" xfId="0" applyFont="1" applyFill="1" applyAlignment="1">
      <alignment wrapText="1"/>
    </xf>
    <xf numFmtId="0" fontId="0" fillId="6" borderId="0" xfId="0" applyFill="1"/>
    <xf numFmtId="0" fontId="1" fillId="6" borderId="0" xfId="0" applyFont="1" applyFill="1"/>
    <xf numFmtId="0" fontId="6" fillId="6" borderId="0" xfId="17" applyFill="1" applyAlignment="1" applyProtection="1"/>
    <xf numFmtId="0" fontId="8" fillId="6" borderId="0" xfId="0" applyFont="1" applyFill="1" applyAlignment="1">
      <alignment horizontal="left" vertical="center" wrapText="1"/>
    </xf>
    <xf numFmtId="0" fontId="4" fillId="10" borderId="0" xfId="0" applyFont="1" applyFill="1" applyAlignment="1" applyProtection="1">
      <alignment vertical="center"/>
    </xf>
    <xf numFmtId="0" fontId="25" fillId="10" borderId="0" xfId="0" applyFont="1" applyFill="1" applyAlignment="1" applyProtection="1">
      <alignment vertical="center"/>
    </xf>
    <xf numFmtId="0" fontId="26" fillId="10" borderId="0" xfId="0" applyFont="1" applyFill="1" applyAlignment="1" applyProtection="1">
      <alignment vertical="center"/>
    </xf>
    <xf numFmtId="192" fontId="26" fillId="10" borderId="0" xfId="0" applyNumberFormat="1" applyFont="1" applyFill="1" applyAlignment="1" applyProtection="1">
      <alignment vertical="center"/>
      <protection locked="0"/>
    </xf>
    <xf numFmtId="0" fontId="26" fillId="10" borderId="0" xfId="0" applyFont="1" applyFill="1" applyBorder="1" applyAlignment="1" applyProtection="1">
      <alignment horizontal="left" vertical="center"/>
    </xf>
    <xf numFmtId="0" fontId="26" fillId="10" borderId="0" xfId="0" applyFont="1" applyFill="1" applyBorder="1" applyAlignment="1" applyProtection="1">
      <alignment horizontal="center" vertical="center"/>
    </xf>
    <xf numFmtId="0" fontId="26" fillId="10" borderId="0" xfId="0" applyFont="1" applyFill="1" applyBorder="1" applyAlignment="1" applyProtection="1">
      <alignment horizontal="left" vertical="center" wrapText="1"/>
    </xf>
    <xf numFmtId="0" fontId="25" fillId="10" borderId="6" xfId="0" applyFont="1" applyFill="1" applyBorder="1" applyAlignment="1" applyProtection="1">
      <alignment horizontal="left" vertical="center" wrapText="1"/>
    </xf>
    <xf numFmtId="0" fontId="25" fillId="10" borderId="0" xfId="0" applyFont="1" applyFill="1" applyBorder="1" applyAlignment="1" applyProtection="1">
      <alignment horizontal="left" vertical="center" wrapText="1"/>
    </xf>
    <xf numFmtId="0" fontId="25" fillId="10" borderId="0" xfId="0" applyFont="1" applyFill="1" applyBorder="1" applyAlignment="1" applyProtection="1">
      <alignment horizontal="left" vertical="center"/>
    </xf>
    <xf numFmtId="0" fontId="25" fillId="10" borderId="0" xfId="0" applyFont="1" applyFill="1" applyBorder="1" applyAlignment="1" applyProtection="1">
      <alignment vertical="center"/>
    </xf>
    <xf numFmtId="0" fontId="25" fillId="10" borderId="0" xfId="0" applyFont="1" applyFill="1" applyBorder="1" applyAlignment="1" applyProtection="1">
      <alignment horizontal="center" vertical="center" wrapText="1"/>
    </xf>
    <xf numFmtId="195" fontId="26" fillId="11" borderId="0" xfId="20" applyNumberFormat="1" applyFont="1" applyFill="1" applyAlignment="1" applyProtection="1">
      <alignment vertical="center"/>
      <protection locked="0"/>
    </xf>
    <xf numFmtId="191" fontId="28" fillId="10" borderId="0" xfId="38" applyFont="1" applyFill="1" applyProtection="1">
      <alignment vertical="center"/>
    </xf>
    <xf numFmtId="0" fontId="26" fillId="0" borderId="0" xfId="0" applyFont="1" applyAlignment="1" applyProtection="1">
      <alignment vertical="center"/>
    </xf>
    <xf numFmtId="0" fontId="26" fillId="0" borderId="0" xfId="0" applyFont="1" applyProtection="1"/>
    <xf numFmtId="0" fontId="26" fillId="0" borderId="0" xfId="0" applyFont="1" applyAlignment="1" applyProtection="1">
      <alignment horizontal="left"/>
    </xf>
    <xf numFmtId="0" fontId="26" fillId="0" borderId="0" xfId="0" applyFont="1" applyFill="1" applyProtection="1"/>
    <xf numFmtId="0" fontId="25" fillId="0" borderId="0" xfId="0" applyFont="1" applyFill="1" applyAlignment="1" applyProtection="1">
      <alignment vertical="center"/>
    </xf>
    <xf numFmtId="170" fontId="26" fillId="0" borderId="0" xfId="0" applyNumberFormat="1" applyFont="1" applyFill="1" applyProtection="1"/>
    <xf numFmtId="14" fontId="26" fillId="0" borderId="0" xfId="0" applyNumberFormat="1" applyFont="1" applyFill="1" applyBorder="1" applyAlignment="1" applyProtection="1">
      <alignment horizontal="right" vertical="center"/>
    </xf>
    <xf numFmtId="0" fontId="26" fillId="10" borderId="0" xfId="0" applyFont="1" applyFill="1" applyAlignment="1" applyProtection="1">
      <alignment horizontal="center" vertical="center"/>
    </xf>
    <xf numFmtId="168" fontId="26" fillId="10" borderId="0" xfId="11" applyNumberFormat="1" applyFont="1" applyFill="1" applyBorder="1" applyAlignment="1" applyProtection="1">
      <alignment vertical="center"/>
    </xf>
    <xf numFmtId="0" fontId="26" fillId="11" borderId="0" xfId="0" applyFont="1" applyFill="1" applyProtection="1"/>
    <xf numFmtId="0" fontId="26" fillId="11" borderId="0" xfId="0" applyFont="1" applyFill="1" applyAlignment="1" applyProtection="1">
      <alignment horizontal="center"/>
    </xf>
    <xf numFmtId="9" fontId="25" fillId="11" borderId="0" xfId="34" applyFont="1" applyFill="1" applyProtection="1">
      <alignment horizontal="center" vertical="center"/>
    </xf>
    <xf numFmtId="0" fontId="25" fillId="11" borderId="0" xfId="0" applyFont="1" applyFill="1" applyAlignment="1" applyProtection="1">
      <alignment vertical="center"/>
    </xf>
    <xf numFmtId="0" fontId="26" fillId="0" borderId="0" xfId="0" applyFont="1" applyBorder="1" applyProtection="1"/>
    <xf numFmtId="0" fontId="26" fillId="0" borderId="0" xfId="0" applyFont="1" applyFill="1" applyBorder="1" applyAlignment="1" applyProtection="1">
      <alignment horizontal="left"/>
    </xf>
    <xf numFmtId="0" fontId="26" fillId="0" borderId="0" xfId="0" applyFont="1" applyFill="1" applyBorder="1" applyProtection="1"/>
    <xf numFmtId="0" fontId="25" fillId="11" borderId="0" xfId="0" applyFont="1" applyFill="1" applyAlignment="1" applyProtection="1">
      <alignment horizontal="center"/>
    </xf>
    <xf numFmtId="0" fontId="25" fillId="11" borderId="0" xfId="0" applyFont="1" applyFill="1" applyAlignment="1" applyProtection="1">
      <alignment horizontal="center" vertical="center" wrapText="1"/>
    </xf>
    <xf numFmtId="0" fontId="25" fillId="11" borderId="0" xfId="0" applyFont="1" applyFill="1" applyAlignment="1" applyProtection="1">
      <alignment horizontal="center" vertical="center"/>
    </xf>
    <xf numFmtId="0" fontId="26" fillId="11" borderId="0" xfId="0" applyFont="1" applyFill="1" applyBorder="1" applyAlignment="1" applyProtection="1">
      <alignment horizontal="left" wrapText="1"/>
    </xf>
    <xf numFmtId="0" fontId="26" fillId="11" borderId="0" xfId="0" applyFont="1" applyFill="1" applyBorder="1" applyAlignment="1" applyProtection="1">
      <alignment horizontal="left"/>
    </xf>
    <xf numFmtId="0" fontId="25" fillId="11" borderId="0" xfId="0" applyFont="1" applyFill="1" applyBorder="1" applyAlignment="1" applyProtection="1">
      <alignment horizontal="center" vertical="center"/>
    </xf>
    <xf numFmtId="9" fontId="26" fillId="10" borderId="0" xfId="34" applyFont="1" applyFill="1" applyProtection="1">
      <alignment horizontal="center" vertical="center"/>
    </xf>
    <xf numFmtId="0" fontId="26" fillId="10" borderId="0" xfId="0" applyFont="1" applyFill="1" applyProtection="1"/>
    <xf numFmtId="0" fontId="26" fillId="10" borderId="0" xfId="0" applyFont="1" applyFill="1" applyBorder="1" applyAlignment="1" applyProtection="1">
      <alignment horizontal="left"/>
    </xf>
    <xf numFmtId="170" fontId="26" fillId="10" borderId="0" xfId="0" applyNumberFormat="1" applyFont="1" applyFill="1" applyBorder="1" applyAlignment="1" applyProtection="1"/>
    <xf numFmtId="169" fontId="26" fillId="10" borderId="0" xfId="0" applyNumberFormat="1" applyFont="1" applyFill="1" applyBorder="1" applyAlignment="1" applyProtection="1"/>
    <xf numFmtId="168" fontId="26" fillId="10" borderId="0" xfId="0" applyNumberFormat="1" applyFont="1" applyFill="1" applyBorder="1" applyAlignment="1" applyProtection="1"/>
    <xf numFmtId="167" fontId="26" fillId="10" borderId="0" xfId="20" applyFont="1" applyFill="1" applyAlignment="1" applyProtection="1">
      <alignment vertical="center"/>
    </xf>
    <xf numFmtId="178" fontId="26" fillId="10" borderId="0" xfId="20" applyNumberFormat="1" applyFont="1" applyFill="1" applyAlignment="1" applyProtection="1">
      <alignment vertical="center"/>
    </xf>
    <xf numFmtId="0" fontId="2" fillId="0" borderId="0" xfId="0" applyFont="1" applyAlignment="1" applyProtection="1">
      <alignment vertical="top"/>
    </xf>
    <xf numFmtId="0" fontId="11" fillId="11" borderId="0" xfId="0" applyFont="1" applyFill="1" applyAlignment="1" applyProtection="1">
      <alignment horizontal="left" vertical="center"/>
    </xf>
    <xf numFmtId="0" fontId="25" fillId="10" borderId="8" xfId="0" applyFont="1" applyFill="1" applyBorder="1" applyAlignment="1" applyProtection="1">
      <alignment vertical="center"/>
    </xf>
    <xf numFmtId="0" fontId="26" fillId="10" borderId="8" xfId="0" applyFont="1" applyFill="1" applyBorder="1" applyProtection="1"/>
    <xf numFmtId="9" fontId="25" fillId="10" borderId="8" xfId="34" applyFont="1" applyFill="1" applyBorder="1" applyProtection="1">
      <alignment horizontal="center" vertical="center"/>
    </xf>
    <xf numFmtId="178" fontId="26" fillId="10" borderId="8" xfId="20" applyNumberFormat="1" applyFont="1" applyFill="1" applyBorder="1" applyAlignment="1" applyProtection="1">
      <alignment vertical="center"/>
    </xf>
    <xf numFmtId="168" fontId="25" fillId="10" borderId="8" xfId="11" applyNumberFormat="1" applyFont="1" applyFill="1" applyBorder="1" applyAlignment="1" applyProtection="1">
      <alignment vertical="center"/>
    </xf>
    <xf numFmtId="0" fontId="26" fillId="8" borderId="0" xfId="0" applyFont="1" applyFill="1"/>
    <xf numFmtId="0" fontId="26" fillId="0" borderId="0" xfId="0" applyFont="1" applyFill="1" applyAlignment="1">
      <alignment horizontal="center"/>
    </xf>
    <xf numFmtId="0" fontId="26" fillId="0" borderId="0" xfId="0" applyFont="1" applyFill="1" applyAlignment="1" applyProtection="1">
      <alignment vertical="center"/>
    </xf>
    <xf numFmtId="0" fontId="26" fillId="9" borderId="0" xfId="0" applyFont="1" applyFill="1"/>
    <xf numFmtId="0" fontId="26" fillId="0" borderId="0" xfId="0" applyFont="1"/>
    <xf numFmtId="9" fontId="26" fillId="0" borderId="0" xfId="0" applyNumberFormat="1" applyFont="1"/>
    <xf numFmtId="11" fontId="26" fillId="0" borderId="0" xfId="0" applyNumberFormat="1" applyFont="1"/>
    <xf numFmtId="0" fontId="26" fillId="0" borderId="0" xfId="0" applyFont="1" applyFill="1"/>
    <xf numFmtId="9" fontId="26" fillId="0" borderId="0" xfId="34" applyFont="1" applyFill="1">
      <alignment horizontal="center" vertical="center"/>
    </xf>
    <xf numFmtId="43" fontId="26" fillId="0" borderId="0" xfId="11" applyFont="1" applyFill="1" applyAlignment="1">
      <alignment horizontal="center" vertical="center"/>
    </xf>
    <xf numFmtId="168" fontId="26" fillId="0" borderId="0" xfId="11" applyNumberFormat="1" applyFont="1" applyFill="1"/>
    <xf numFmtId="0" fontId="26" fillId="11" borderId="0" xfId="0" applyFont="1" applyFill="1" applyBorder="1" applyAlignment="1" applyProtection="1">
      <alignment horizontal="center" vertical="center" wrapText="1"/>
    </xf>
    <xf numFmtId="0" fontId="26" fillId="10" borderId="0" xfId="0" applyFont="1" applyFill="1"/>
    <xf numFmtId="0" fontId="26" fillId="10" borderId="0" xfId="0" applyFont="1" applyFill="1" applyAlignment="1">
      <alignment horizontal="center"/>
    </xf>
    <xf numFmtId="168" fontId="26" fillId="10" borderId="0" xfId="11" applyNumberFormat="1" applyFont="1" applyFill="1"/>
    <xf numFmtId="190" fontId="26" fillId="10" borderId="0" xfId="45" applyNumberFormat="1" applyFont="1" applyFill="1">
      <alignment vertical="center" wrapText="1"/>
    </xf>
    <xf numFmtId="11" fontId="26" fillId="10" borderId="0" xfId="45" applyFont="1" applyFill="1">
      <alignment vertical="center" wrapText="1"/>
    </xf>
    <xf numFmtId="11" fontId="26" fillId="10" borderId="0" xfId="0" applyNumberFormat="1" applyFont="1" applyFill="1"/>
    <xf numFmtId="0" fontId="26" fillId="0" borderId="0" xfId="0" applyFont="1" applyFill="1" applyAlignment="1">
      <alignment horizontal="left"/>
    </xf>
    <xf numFmtId="0" fontId="25" fillId="10" borderId="0" xfId="0" applyFont="1" applyFill="1" applyAlignment="1" applyProtection="1">
      <alignment horizontal="left" vertical="center" wrapText="1"/>
    </xf>
    <xf numFmtId="0" fontId="26" fillId="0" borderId="0" xfId="0" applyFont="1" applyAlignment="1">
      <alignment wrapText="1"/>
    </xf>
    <xf numFmtId="194" fontId="26" fillId="0" borderId="0" xfId="0" applyNumberFormat="1" applyFont="1" applyFill="1"/>
    <xf numFmtId="194" fontId="26" fillId="0" borderId="0" xfId="0" applyNumberFormat="1" applyFont="1"/>
    <xf numFmtId="0" fontId="26" fillId="0" borderId="0" xfId="0" applyFont="1" applyFill="1" applyAlignment="1">
      <alignment wrapText="1"/>
    </xf>
    <xf numFmtId="0" fontId="29" fillId="11" borderId="0" xfId="0" applyFont="1" applyFill="1" applyBorder="1" applyAlignment="1">
      <alignment horizontal="left" vertical="center" wrapText="1"/>
    </xf>
    <xf numFmtId="0" fontId="26" fillId="0" borderId="0" xfId="0" applyFont="1" applyAlignment="1">
      <alignment horizontal="right"/>
    </xf>
    <xf numFmtId="168" fontId="26" fillId="10" borderId="0" xfId="11" applyNumberFormat="1" applyFont="1" applyFill="1" applyAlignment="1">
      <alignment horizontal="right" vertical="center"/>
    </xf>
    <xf numFmtId="0" fontId="26" fillId="0" borderId="0" xfId="0" applyFont="1" applyAlignment="1" applyProtection="1">
      <alignment horizontal="center"/>
    </xf>
    <xf numFmtId="0" fontId="26" fillId="0" borderId="0" xfId="0" applyFont="1" applyAlignment="1" applyProtection="1">
      <alignment horizontal="center" vertical="center" wrapText="1"/>
    </xf>
    <xf numFmtId="168" fontId="26" fillId="0" borderId="0" xfId="11" applyNumberFormat="1" applyFont="1" applyAlignment="1" applyProtection="1">
      <alignment vertical="center"/>
    </xf>
    <xf numFmtId="0" fontId="26" fillId="0" borderId="0" xfId="0" applyFont="1" applyAlignment="1">
      <alignment horizontal="center" vertical="center"/>
    </xf>
    <xf numFmtId="0" fontId="26" fillId="0" borderId="0" xfId="0" applyFont="1" applyAlignment="1">
      <alignment horizontal="center" vertical="center" wrapText="1"/>
    </xf>
    <xf numFmtId="168" fontId="26" fillId="0" borderId="0" xfId="0" applyNumberFormat="1" applyFont="1"/>
    <xf numFmtId="9" fontId="26" fillId="0" borderId="0" xfId="34" applyFont="1">
      <alignment horizontal="center" vertical="center"/>
    </xf>
    <xf numFmtId="168" fontId="26" fillId="0" borderId="0" xfId="0" applyNumberFormat="1" applyFont="1" applyAlignment="1" applyProtection="1">
      <alignment vertical="center"/>
    </xf>
    <xf numFmtId="0" fontId="26" fillId="0" borderId="0" xfId="0" applyFont="1" applyAlignment="1" applyProtection="1"/>
    <xf numFmtId="0" fontId="25" fillId="0" borderId="0" xfId="0" applyFont="1" applyAlignment="1" applyProtection="1">
      <alignment vertical="center"/>
    </xf>
    <xf numFmtId="168" fontId="26" fillId="0" borderId="0" xfId="0" applyNumberFormat="1" applyFont="1" applyAlignment="1">
      <alignment horizontal="left" vertical="top"/>
    </xf>
    <xf numFmtId="167" fontId="26" fillId="10" borderId="0" xfId="20" applyNumberFormat="1" applyFont="1" applyFill="1" applyAlignment="1" applyProtection="1">
      <alignment vertical="center"/>
    </xf>
    <xf numFmtId="0" fontId="25" fillId="12" borderId="0" xfId="0" applyFont="1" applyFill="1" applyAlignment="1" applyProtection="1">
      <alignment vertical="center"/>
    </xf>
    <xf numFmtId="0" fontId="26" fillId="12" borderId="0" xfId="0" applyFont="1" applyFill="1" applyBorder="1" applyAlignment="1" applyProtection="1">
      <alignment horizontal="center" vertical="center"/>
    </xf>
    <xf numFmtId="0" fontId="26" fillId="12" borderId="0" xfId="0" applyFont="1" applyFill="1" applyAlignment="1" applyProtection="1">
      <alignment vertical="center"/>
    </xf>
    <xf numFmtId="0" fontId="26" fillId="12" borderId="0" xfId="0" applyFont="1" applyFill="1" applyBorder="1" applyAlignment="1" applyProtection="1">
      <alignment vertical="center"/>
    </xf>
    <xf numFmtId="0" fontId="25" fillId="12" borderId="0" xfId="0" applyFont="1" applyFill="1" applyBorder="1" applyAlignment="1" applyProtection="1">
      <alignment horizontal="center" vertical="center" wrapText="1"/>
    </xf>
    <xf numFmtId="0" fontId="27" fillId="12" borderId="0" xfId="17" applyFont="1" applyFill="1" applyBorder="1" applyAlignment="1" applyProtection="1">
      <alignment horizontal="center" vertical="center" wrapText="1"/>
    </xf>
    <xf numFmtId="191" fontId="26" fillId="12" borderId="0" xfId="37" applyNumberFormat="1" applyFont="1" applyFill="1">
      <alignment vertical="center"/>
    </xf>
    <xf numFmtId="186" fontId="26" fillId="12" borderId="0" xfId="38" applyNumberFormat="1" applyFont="1" applyFill="1">
      <alignment vertical="center"/>
    </xf>
    <xf numFmtId="9" fontId="26" fillId="12" borderId="0" xfId="37" applyNumberFormat="1" applyFont="1" applyFill="1">
      <alignment vertical="center"/>
    </xf>
    <xf numFmtId="9" fontId="26" fillId="12" borderId="0" xfId="18" applyNumberFormat="1" applyFont="1" applyFill="1">
      <alignment vertical="center"/>
    </xf>
    <xf numFmtId="195" fontId="26" fillId="12" borderId="0" xfId="20" applyNumberFormat="1" applyFont="1" applyFill="1" applyAlignment="1" applyProtection="1">
      <alignment vertical="center"/>
      <protection locked="0"/>
    </xf>
    <xf numFmtId="192" fontId="26" fillId="12" borderId="0" xfId="0" applyNumberFormat="1" applyFont="1" applyFill="1" applyAlignment="1" applyProtection="1">
      <alignment vertical="center"/>
      <protection locked="0"/>
    </xf>
    <xf numFmtId="191" fontId="28" fillId="12" borderId="0" xfId="38" applyFont="1" applyFill="1" applyProtection="1">
      <alignment vertical="center"/>
    </xf>
    <xf numFmtId="9" fontId="25" fillId="12" borderId="0" xfId="34" applyFont="1" applyFill="1" applyBorder="1" applyAlignment="1" applyProtection="1">
      <alignment horizontal="left" vertical="center"/>
    </xf>
    <xf numFmtId="165" fontId="26" fillId="12" borderId="0" xfId="25" applyFont="1" applyFill="1" applyProtection="1">
      <alignment vertical="center"/>
    </xf>
    <xf numFmtId="0" fontId="26" fillId="12" borderId="0" xfId="0" applyFont="1" applyFill="1" applyBorder="1" applyAlignment="1" applyProtection="1">
      <alignment horizontal="left" vertical="center"/>
    </xf>
    <xf numFmtId="0" fontId="26" fillId="12" borderId="0" xfId="0" applyFont="1" applyFill="1" applyBorder="1" applyAlignment="1" applyProtection="1">
      <alignment horizontal="left" vertical="center" wrapText="1"/>
    </xf>
    <xf numFmtId="0" fontId="25" fillId="12" borderId="6" xfId="0" applyFont="1" applyFill="1" applyBorder="1" applyAlignment="1" applyProtection="1">
      <alignment horizontal="left" vertical="center" wrapText="1"/>
    </xf>
    <xf numFmtId="9" fontId="25" fillId="12" borderId="0" xfId="37" applyNumberFormat="1" applyFont="1" applyFill="1" applyBorder="1">
      <alignment vertical="center"/>
    </xf>
    <xf numFmtId="0" fontId="25" fillId="12" borderId="0" xfId="0" applyFont="1" applyFill="1" applyBorder="1" applyAlignment="1" applyProtection="1">
      <alignment horizontal="left" vertical="center" wrapText="1"/>
    </xf>
    <xf numFmtId="0" fontId="25" fillId="12" borderId="0" xfId="0" applyFont="1" applyFill="1" applyBorder="1" applyAlignment="1" applyProtection="1">
      <alignment horizontal="left" vertical="center"/>
    </xf>
    <xf numFmtId="43" fontId="26" fillId="0" borderId="0" xfId="11" applyNumberFormat="1" applyFont="1" applyAlignment="1" applyProtection="1">
      <alignment vertical="center"/>
    </xf>
    <xf numFmtId="0" fontId="11" fillId="12" borderId="0" xfId="0" applyFont="1" applyFill="1" applyAlignment="1">
      <alignment horizontal="center"/>
    </xf>
    <xf numFmtId="0" fontId="11" fillId="12" borderId="0" xfId="0" applyFont="1" applyFill="1" applyAlignment="1">
      <alignment horizontal="left"/>
    </xf>
    <xf numFmtId="0" fontId="11" fillId="12" borderId="0" xfId="0" applyFont="1" applyFill="1" applyAlignment="1">
      <alignment horizontal="right"/>
    </xf>
    <xf numFmtId="0" fontId="26" fillId="12" borderId="0" xfId="0" applyFont="1" applyFill="1"/>
    <xf numFmtId="0" fontId="11" fillId="12" borderId="0" xfId="0" applyFont="1" applyFill="1" applyAlignment="1">
      <alignment horizontal="center" vertical="center"/>
    </xf>
    <xf numFmtId="0" fontId="25" fillId="12" borderId="0" xfId="0" applyFont="1" applyFill="1" applyAlignment="1">
      <alignment horizontal="center" vertical="center" wrapText="1"/>
    </xf>
    <xf numFmtId="0" fontId="25" fillId="12" borderId="0" xfId="0" applyFont="1" applyFill="1" applyAlignment="1">
      <alignment horizontal="center" vertical="center"/>
    </xf>
    <xf numFmtId="168" fontId="26" fillId="12" borderId="0" xfId="0" applyNumberFormat="1" applyFont="1" applyFill="1"/>
    <xf numFmtId="11" fontId="30" fillId="0" borderId="0" xfId="0" applyNumberFormat="1" applyFont="1"/>
    <xf numFmtId="0" fontId="30" fillId="0" borderId="0" xfId="0" applyFont="1"/>
    <xf numFmtId="43" fontId="26" fillId="10" borderId="0" xfId="0" applyNumberFormat="1" applyFont="1" applyFill="1"/>
    <xf numFmtId="0" fontId="11" fillId="12" borderId="0" xfId="0" applyFont="1" applyFill="1" applyAlignment="1">
      <alignment horizontal="center" vertical="center"/>
    </xf>
    <xf numFmtId="43" fontId="26" fillId="0" borderId="0" xfId="0" applyNumberFormat="1" applyFont="1" applyAlignment="1" applyProtection="1">
      <alignment vertical="center"/>
    </xf>
    <xf numFmtId="43" fontId="26" fillId="0" borderId="0" xfId="0" applyNumberFormat="1" applyFont="1"/>
    <xf numFmtId="0" fontId="5" fillId="0" borderId="0" xfId="0" applyFont="1" applyAlignment="1">
      <alignment horizontal="left" vertical="center" wrapText="1"/>
    </xf>
    <xf numFmtId="0" fontId="32" fillId="0" borderId="0" xfId="0" applyFont="1" applyAlignment="1">
      <alignment horizontal="justify" vertical="center" wrapText="1"/>
    </xf>
    <xf numFmtId="196" fontId="26" fillId="12" borderId="0" xfId="37" applyNumberFormat="1" applyFont="1" applyFill="1">
      <alignment vertical="center"/>
    </xf>
    <xf numFmtId="197" fontId="26" fillId="12" borderId="0" xfId="20" applyNumberFormat="1" applyFont="1" applyFill="1" applyAlignment="1" applyProtection="1">
      <alignment vertical="center"/>
      <protection locked="0"/>
    </xf>
    <xf numFmtId="198" fontId="26" fillId="12" borderId="0" xfId="20" applyNumberFormat="1" applyFont="1" applyFill="1" applyAlignment="1" applyProtection="1">
      <alignment vertical="center"/>
      <protection locked="0"/>
    </xf>
    <xf numFmtId="199" fontId="26" fillId="12" borderId="0" xfId="0" applyNumberFormat="1" applyFont="1" applyFill="1" applyAlignment="1" applyProtection="1">
      <alignment vertical="center"/>
      <protection locked="0"/>
    </xf>
    <xf numFmtId="200" fontId="26" fillId="12" borderId="0" xfId="37" applyNumberFormat="1" applyFont="1" applyFill="1">
      <alignment vertical="center"/>
    </xf>
    <xf numFmtId="200" fontId="26" fillId="12" borderId="0" xfId="0" applyNumberFormat="1" applyFont="1" applyFill="1" applyAlignment="1" applyProtection="1">
      <alignment vertical="center"/>
      <protection locked="0"/>
    </xf>
    <xf numFmtId="0" fontId="11" fillId="11" borderId="0" xfId="0" applyFont="1" applyFill="1" applyAlignment="1" applyProtection="1">
      <alignment vertical="center" wrapText="1"/>
    </xf>
    <xf numFmtId="0" fontId="11" fillId="11" borderId="0" xfId="0" applyFont="1" applyFill="1" applyAlignment="1" applyProtection="1">
      <alignment vertical="center"/>
    </xf>
    <xf numFmtId="166" fontId="26" fillId="12" borderId="0" xfId="37" applyNumberFormat="1" applyFont="1" applyFill="1">
      <alignment vertical="center"/>
    </xf>
    <xf numFmtId="9" fontId="25" fillId="10" borderId="0" xfId="34" applyFont="1" applyFill="1" applyBorder="1" applyAlignment="1" applyProtection="1">
      <alignment horizontal="center" vertical="center"/>
    </xf>
    <xf numFmtId="0" fontId="25" fillId="10" borderId="0" xfId="0" applyFont="1" applyFill="1" applyAlignment="1" applyProtection="1">
      <alignment horizontal="center" vertical="center"/>
    </xf>
    <xf numFmtId="9" fontId="25" fillId="12" borderId="0" xfId="34" applyFont="1" applyFill="1" applyBorder="1" applyAlignment="1" applyProtection="1">
      <alignment horizontal="center" vertical="center"/>
    </xf>
    <xf numFmtId="0" fontId="25" fillId="12" borderId="0" xfId="0" applyFont="1" applyFill="1" applyAlignment="1" applyProtection="1">
      <alignment horizontal="center" vertical="center"/>
    </xf>
    <xf numFmtId="178" fontId="26" fillId="11" borderId="0" xfId="0" applyNumberFormat="1" applyFont="1" applyFill="1" applyAlignment="1" applyProtection="1">
      <alignment vertical="center"/>
      <protection locked="0"/>
    </xf>
    <xf numFmtId="49" fontId="11" fillId="12" borderId="0" xfId="0" applyNumberFormat="1" applyFont="1" applyFill="1" applyAlignment="1">
      <alignment horizontal="left"/>
    </xf>
    <xf numFmtId="201" fontId="26" fillId="11" borderId="0" xfId="0" applyNumberFormat="1" applyFont="1" applyFill="1" applyAlignment="1" applyProtection="1">
      <alignment vertical="center"/>
      <protection locked="0"/>
    </xf>
    <xf numFmtId="0" fontId="26" fillId="0" borderId="0" xfId="0" applyNumberFormat="1" applyFont="1"/>
    <xf numFmtId="9" fontId="26" fillId="12" borderId="0" xfId="0" applyNumberFormat="1" applyFont="1" applyFill="1"/>
    <xf numFmtId="0" fontId="26" fillId="12" borderId="0" xfId="0" applyFont="1" applyFill="1" applyBorder="1"/>
    <xf numFmtId="202" fontId="26" fillId="12" borderId="0" xfId="37" applyNumberFormat="1" applyFont="1" applyFill="1">
      <alignment vertical="center"/>
    </xf>
    <xf numFmtId="9" fontId="25" fillId="12" borderId="0" xfId="34" applyFont="1" applyFill="1" applyAlignment="1">
      <alignment horizontal="right" vertical="center"/>
    </xf>
    <xf numFmtId="0" fontId="25" fillId="12" borderId="7" xfId="0" applyFont="1" applyFill="1" applyBorder="1" applyAlignment="1">
      <alignment horizontal="left"/>
    </xf>
    <xf numFmtId="199" fontId="26" fillId="12" borderId="0" xfId="37" applyNumberFormat="1" applyFont="1" applyFill="1">
      <alignment vertical="center"/>
    </xf>
    <xf numFmtId="0" fontId="4" fillId="10" borderId="0" xfId="0" applyFont="1" applyFill="1" applyAlignment="1" applyProtection="1">
      <alignment horizontal="center" vertical="center" wrapText="1"/>
    </xf>
    <xf numFmtId="0" fontId="2" fillId="10" borderId="0" xfId="0" applyFont="1" applyFill="1" applyAlignment="1" applyProtection="1">
      <alignment vertical="center"/>
      <protection locked="0"/>
    </xf>
    <xf numFmtId="0" fontId="26" fillId="10" borderId="0" xfId="0" applyFont="1" applyFill="1" applyAlignment="1" applyProtection="1">
      <alignment vertical="center"/>
      <protection locked="0"/>
    </xf>
    <xf numFmtId="0" fontId="2" fillId="0" borderId="0" xfId="0" applyFont="1" applyAlignment="1" applyProtection="1">
      <alignment vertical="center"/>
      <protection locked="0"/>
    </xf>
    <xf numFmtId="0" fontId="4" fillId="10" borderId="0" xfId="0" applyFont="1" applyFill="1" applyAlignment="1" applyProtection="1">
      <alignment horizontal="center" vertical="center" wrapText="1"/>
      <protection locked="0"/>
    </xf>
    <xf numFmtId="0" fontId="25" fillId="10" borderId="0" xfId="0" applyFont="1" applyFill="1" applyAlignment="1" applyProtection="1">
      <alignment vertical="center"/>
      <protection locked="0"/>
    </xf>
    <xf numFmtId="191" fontId="26" fillId="11" borderId="0" xfId="37" applyNumberFormat="1" applyFont="1" applyFill="1" applyProtection="1">
      <alignment vertical="center"/>
      <protection locked="0"/>
    </xf>
    <xf numFmtId="0" fontId="26" fillId="11" borderId="0" xfId="11" applyNumberFormat="1" applyFont="1" applyFill="1" applyAlignment="1" applyProtection="1">
      <alignment horizontal="left" vertical="center"/>
      <protection locked="0"/>
    </xf>
    <xf numFmtId="0" fontId="26" fillId="10" borderId="0" xfId="0" applyFont="1" applyFill="1" applyBorder="1" applyAlignment="1" applyProtection="1">
      <alignment horizontal="center" vertical="center"/>
      <protection locked="0"/>
    </xf>
    <xf numFmtId="0" fontId="25" fillId="10" borderId="0" xfId="0" applyFont="1" applyFill="1" applyBorder="1" applyAlignment="1" applyProtection="1">
      <alignment vertical="center"/>
      <protection locked="0"/>
    </xf>
    <xf numFmtId="0" fontId="26" fillId="10" borderId="0" xfId="0" applyFont="1" applyFill="1" applyBorder="1" applyAlignment="1" applyProtection="1">
      <alignment vertical="center"/>
      <protection locked="0"/>
    </xf>
    <xf numFmtId="0" fontId="27" fillId="10" borderId="0" xfId="17" applyFont="1" applyFill="1" applyBorder="1" applyAlignment="1" applyProtection="1">
      <alignment horizontal="center" vertical="center" wrapText="1"/>
      <protection locked="0"/>
    </xf>
    <xf numFmtId="202" fontId="26" fillId="11" borderId="0" xfId="37" applyNumberFormat="1" applyFont="1" applyFill="1" applyProtection="1">
      <alignment vertical="center"/>
      <protection locked="0"/>
    </xf>
    <xf numFmtId="166" fontId="26" fillId="11" borderId="0" xfId="37" applyNumberFormat="1" applyFont="1" applyFill="1" applyProtection="1">
      <alignment vertical="center"/>
      <protection locked="0"/>
    </xf>
    <xf numFmtId="186" fontId="26" fillId="10" borderId="0" xfId="38" applyNumberFormat="1" applyFont="1" applyFill="1" applyProtection="1">
      <alignment vertical="center"/>
      <protection locked="0"/>
    </xf>
    <xf numFmtId="186" fontId="26" fillId="11" borderId="0" xfId="37" applyNumberFormat="1" applyFont="1" applyFill="1" applyProtection="1">
      <alignment vertical="center"/>
      <protection locked="0"/>
    </xf>
    <xf numFmtId="9" fontId="26" fillId="11" borderId="0" xfId="37" applyNumberFormat="1" applyFont="1" applyFill="1" applyProtection="1">
      <alignment vertical="center"/>
      <protection locked="0"/>
    </xf>
    <xf numFmtId="168" fontId="2" fillId="0" borderId="0" xfId="11" applyNumberFormat="1" applyFont="1" applyAlignment="1" applyProtection="1">
      <alignment vertical="center"/>
      <protection locked="0"/>
    </xf>
    <xf numFmtId="186" fontId="26" fillId="11" borderId="0" xfId="18" applyNumberFormat="1" applyFont="1" applyFill="1" applyProtection="1">
      <alignment vertical="center"/>
      <protection locked="0"/>
    </xf>
    <xf numFmtId="0" fontId="1" fillId="10" borderId="0" xfId="0" applyFont="1" applyFill="1" applyAlignment="1" applyProtection="1">
      <alignment vertical="center"/>
      <protection locked="0"/>
    </xf>
    <xf numFmtId="9" fontId="26" fillId="11" borderId="0" xfId="18" applyNumberFormat="1" applyFont="1" applyFill="1" applyProtection="1">
      <alignment vertical="center"/>
      <protection locked="0"/>
    </xf>
    <xf numFmtId="182" fontId="26" fillId="11" borderId="0" xfId="37" applyNumberFormat="1" applyFont="1" applyFill="1" applyProtection="1">
      <alignment vertical="center"/>
      <protection locked="0"/>
    </xf>
    <xf numFmtId="168" fontId="2" fillId="0" borderId="0" xfId="0" applyNumberFormat="1" applyFont="1" applyAlignment="1" applyProtection="1">
      <alignment vertical="center"/>
      <protection locked="0"/>
    </xf>
    <xf numFmtId="178" fontId="26" fillId="11" borderId="0" xfId="37" applyNumberFormat="1" applyFont="1" applyFill="1" applyProtection="1">
      <alignment vertical="center"/>
      <protection locked="0"/>
    </xf>
    <xf numFmtId="191" fontId="28" fillId="10" borderId="0" xfId="38" applyFont="1" applyFill="1" applyProtection="1">
      <alignment vertical="center"/>
      <protection locked="0"/>
    </xf>
    <xf numFmtId="165" fontId="26" fillId="11" borderId="0" xfId="37" applyNumberFormat="1" applyFont="1" applyFill="1" applyProtection="1">
      <alignment vertical="center"/>
      <protection locked="0"/>
    </xf>
    <xf numFmtId="165" fontId="26" fillId="10" borderId="0" xfId="25" applyFont="1" applyFill="1" applyProtection="1">
      <alignment vertical="center"/>
      <protection locked="0"/>
    </xf>
    <xf numFmtId="0" fontId="2" fillId="10" borderId="0" xfId="25" applyNumberFormat="1" applyFont="1" applyFill="1" applyProtection="1">
      <alignment vertical="center"/>
      <protection locked="0"/>
    </xf>
    <xf numFmtId="0" fontId="26" fillId="10" borderId="0" xfId="0" applyFont="1" applyFill="1" applyBorder="1" applyAlignment="1" applyProtection="1">
      <alignment horizontal="left" vertical="center"/>
      <protection locked="0"/>
    </xf>
    <xf numFmtId="9" fontId="26" fillId="11" borderId="5" xfId="37" applyNumberFormat="1" applyFont="1" applyFill="1" applyBorder="1" applyProtection="1">
      <alignment vertical="center"/>
      <protection locked="0"/>
    </xf>
    <xf numFmtId="0" fontId="26" fillId="0" borderId="0" xfId="0" applyFont="1" applyAlignment="1" applyProtection="1">
      <alignment vertical="center"/>
      <protection locked="0"/>
    </xf>
    <xf numFmtId="186" fontId="26" fillId="10" borderId="0" xfId="38" applyNumberFormat="1" applyFont="1" applyFill="1" applyProtection="1">
      <alignment vertical="center"/>
    </xf>
    <xf numFmtId="192" fontId="26" fillId="10" borderId="0" xfId="0" applyNumberFormat="1" applyFont="1" applyFill="1" applyAlignment="1" applyProtection="1">
      <alignment vertical="center"/>
    </xf>
    <xf numFmtId="9" fontId="25" fillId="10" borderId="0" xfId="37" applyNumberFormat="1" applyFont="1" applyFill="1" applyBorder="1" applyProtection="1">
      <alignment vertical="center"/>
    </xf>
    <xf numFmtId="168" fontId="26" fillId="13" borderId="0" xfId="11" applyNumberFormat="1" applyFont="1" applyFill="1"/>
    <xf numFmtId="0" fontId="34" fillId="10" borderId="0" xfId="17" applyFont="1" applyFill="1" applyBorder="1" applyAlignment="1" applyProtection="1">
      <alignment horizontal="center" vertical="center" wrapText="1"/>
      <protection locked="0"/>
    </xf>
    <xf numFmtId="203" fontId="26" fillId="11" borderId="0" xfId="20" applyNumberFormat="1" applyFont="1" applyFill="1" applyAlignment="1" applyProtection="1">
      <alignment vertical="center"/>
      <protection locked="0"/>
    </xf>
    <xf numFmtId="204" fontId="26" fillId="11" borderId="0" xfId="20" applyNumberFormat="1" applyFont="1" applyFill="1" applyAlignment="1" applyProtection="1">
      <alignment vertical="center"/>
      <protection locked="0"/>
    </xf>
    <xf numFmtId="203" fontId="26" fillId="12" borderId="0" xfId="37" applyNumberFormat="1" applyFont="1" applyFill="1">
      <alignment vertical="center"/>
    </xf>
    <xf numFmtId="204" fontId="26" fillId="12" borderId="0" xfId="37" applyNumberFormat="1" applyFont="1" applyFill="1">
      <alignment vertical="center"/>
    </xf>
    <xf numFmtId="205" fontId="26" fillId="12" borderId="0" xfId="0" applyNumberFormat="1" applyFont="1" applyFill="1" applyAlignment="1" applyProtection="1">
      <alignment vertical="center"/>
      <protection locked="0"/>
    </xf>
    <xf numFmtId="201" fontId="26" fillId="12" borderId="0" xfId="0" applyNumberFormat="1" applyFont="1" applyFill="1" applyAlignment="1" applyProtection="1">
      <alignment vertical="center"/>
      <protection locked="0"/>
    </xf>
    <xf numFmtId="0" fontId="1" fillId="6" borderId="0" xfId="0" applyFont="1" applyFill="1" applyAlignment="1">
      <alignment horizontal="left" wrapText="1"/>
    </xf>
    <xf numFmtId="0" fontId="0" fillId="6" borderId="0" xfId="0" applyFill="1" applyAlignment="1">
      <alignment horizontal="left" wrapText="1"/>
    </xf>
    <xf numFmtId="0" fontId="6" fillId="6" borderId="0" xfId="17" applyFill="1" applyAlignment="1" applyProtection="1">
      <alignment horizontal="left" wrapText="1"/>
    </xf>
    <xf numFmtId="0" fontId="4" fillId="10" borderId="0" xfId="0" applyFont="1" applyFill="1" applyAlignment="1" applyProtection="1">
      <alignment horizontal="center" vertical="center" wrapText="1"/>
      <protection locked="0"/>
    </xf>
    <xf numFmtId="9" fontId="25" fillId="10" borderId="0" xfId="34" applyNumberFormat="1" applyFont="1" applyFill="1" applyAlignment="1">
      <alignment horizontal="center" vertical="center"/>
    </xf>
    <xf numFmtId="0" fontId="11" fillId="12" borderId="0" xfId="0" applyFont="1" applyFill="1" applyAlignment="1">
      <alignment horizontal="center" vertical="center"/>
    </xf>
    <xf numFmtId="0" fontId="25" fillId="12" borderId="0" xfId="0" applyFont="1" applyFill="1" applyBorder="1" applyAlignment="1">
      <alignment horizontal="left" wrapText="1"/>
    </xf>
    <xf numFmtId="0" fontId="25" fillId="12" borderId="7" xfId="0" applyFont="1" applyFill="1" applyBorder="1" applyAlignment="1">
      <alignment horizontal="left" wrapText="1"/>
    </xf>
    <xf numFmtId="0" fontId="26" fillId="10" borderId="0" xfId="0" applyFont="1" applyFill="1" applyAlignment="1">
      <alignment horizontal="left"/>
    </xf>
    <xf numFmtId="0" fontId="25" fillId="10" borderId="0" xfId="0" applyFont="1" applyFill="1" applyAlignment="1" applyProtection="1">
      <alignment horizontal="left" vertical="center" wrapText="1"/>
    </xf>
  </cellXfs>
  <cellStyles count="49">
    <cellStyle name="2x indented GHG Textfiels" xfId="1" xr:uid="{00000000-0005-0000-0000-000000000000}"/>
    <cellStyle name="5x indented GHG Textfiels" xfId="2" xr:uid="{00000000-0005-0000-0000-000001000000}"/>
    <cellStyle name="Boden" xfId="3" xr:uid="{00000000-0005-0000-0000-000002000000}"/>
    <cellStyle name="Bold GHG Numbers (0.00)" xfId="4" xr:uid="{00000000-0005-0000-0000-000003000000}"/>
    <cellStyle name="CHF" xfId="5" xr:uid="{00000000-0005-0000-0000-000004000000}"/>
    <cellStyle name="Comma [0]_CAS Ciba" xfId="6" xr:uid="{00000000-0005-0000-0000-000005000000}"/>
    <cellStyle name="Comma_CAS Ciba" xfId="7" xr:uid="{00000000-0005-0000-0000-000006000000}"/>
    <cellStyle name="comment" xfId="8" xr:uid="{00000000-0005-0000-0000-000007000000}"/>
    <cellStyle name="Currency [0]_CAS Ciba" xfId="9" xr:uid="{00000000-0005-0000-0000-000008000000}"/>
    <cellStyle name="Currency_CAS Ciba" xfId="10" xr:uid="{00000000-0005-0000-0000-000009000000}"/>
    <cellStyle name="dt" xfId="12" xr:uid="{00000000-0005-0000-0000-00000A000000}"/>
    <cellStyle name="EcoTitel" xfId="13" xr:uid="{00000000-0005-0000-0000-00000B000000}"/>
    <cellStyle name="EcoZahl" xfId="14" xr:uid="{00000000-0005-0000-0000-00000C000000}"/>
    <cellStyle name="Euro" xfId="15" xr:uid="{00000000-0005-0000-0000-00000D000000}"/>
    <cellStyle name="Headline" xfId="16" xr:uid="{00000000-0005-0000-0000-00000E000000}"/>
    <cellStyle name="kg" xfId="18" xr:uid="{00000000-0005-0000-0000-000010000000}"/>
    <cellStyle name="km" xfId="19" xr:uid="{00000000-0005-0000-0000-000011000000}"/>
    <cellStyle name="Komma" xfId="11" builtinId="3"/>
    <cellStyle name="kWh" xfId="20" xr:uid="{00000000-0005-0000-0000-000013000000}"/>
    <cellStyle name="l" xfId="21" xr:uid="{00000000-0005-0000-0000-000014000000}"/>
    <cellStyle name="Link" xfId="17" builtinId="8"/>
    <cellStyle name="Luft" xfId="22" xr:uid="{00000000-0005-0000-0000-000015000000}"/>
    <cellStyle name="m2" xfId="23" xr:uid="{00000000-0005-0000-0000-000016000000}"/>
    <cellStyle name="m2a" xfId="24" xr:uid="{00000000-0005-0000-0000-000017000000}"/>
    <cellStyle name="m3" xfId="25" xr:uid="{00000000-0005-0000-0000-000018000000}"/>
    <cellStyle name="Niels" xfId="26" xr:uid="{00000000-0005-0000-0000-000019000000}"/>
    <cellStyle name="NielsProz" xfId="27" xr:uid="{00000000-0005-0000-0000-00001A000000}"/>
    <cellStyle name="NielsProzent" xfId="28" xr:uid="{00000000-0005-0000-0000-00001B000000}"/>
    <cellStyle name="Normal GHG Numbers (0.00)" xfId="29" xr:uid="{00000000-0005-0000-0000-00001C000000}"/>
    <cellStyle name="Normal GHG Textfiels Bold" xfId="30" xr:uid="{00000000-0005-0000-0000-00001D000000}"/>
    <cellStyle name="Normal GHG whole table" xfId="31" xr:uid="{00000000-0005-0000-0000-00001E000000}"/>
    <cellStyle name="Normal_CAS Ciba" xfId="32" xr:uid="{00000000-0005-0000-0000-00001F000000}"/>
    <cellStyle name="NormalTabelle" xfId="33" xr:uid="{00000000-0005-0000-0000-000020000000}"/>
    <cellStyle name="Prozent" xfId="34" builtinId="5"/>
    <cellStyle name="prozent+" xfId="35" xr:uid="{00000000-0005-0000-0000-000022000000}"/>
    <cellStyle name="Prüfung" xfId="36" xr:uid="{00000000-0005-0000-0000-000023000000}"/>
    <cellStyle name="Sm3" xfId="37" xr:uid="{00000000-0005-0000-0000-000024000000}"/>
    <cellStyle name="Standard" xfId="0" builtinId="0"/>
    <cellStyle name="t" xfId="38" xr:uid="{00000000-0005-0000-0000-000026000000}"/>
    <cellStyle name="text" xfId="39" xr:uid="{00000000-0005-0000-0000-000027000000}"/>
    <cellStyle name="Text-Manual" xfId="40" xr:uid="{00000000-0005-0000-0000-000028000000}"/>
    <cellStyle name="tkm" xfId="41" xr:uid="{00000000-0005-0000-0000-000029000000}"/>
    <cellStyle name="unit" xfId="42" xr:uid="{00000000-0005-0000-0000-00002A000000}"/>
    <cellStyle name="Wasser" xfId="43" xr:uid="{00000000-0005-0000-0000-00002B000000}"/>
    <cellStyle name="wis" xfId="44" xr:uid="{00000000-0005-0000-0000-00002C000000}"/>
    <cellStyle name="wissenschaft" xfId="45" xr:uid="{00000000-0005-0000-0000-00002D000000}"/>
    <cellStyle name="wissenschaft+" xfId="46" xr:uid="{00000000-0005-0000-0000-00002E000000}"/>
    <cellStyle name="wissenschaft-Eingabe" xfId="47" xr:uid="{00000000-0005-0000-0000-00002F000000}"/>
    <cellStyle name="zkh" xfId="48" xr:uid="{00000000-0005-0000-0000-000030000000}"/>
  </cellStyles>
  <dxfs count="2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Ergebnis!$F$11:$H$11</c:f>
          <c:strCache>
            <c:ptCount val="3"/>
            <c:pt idx="0">
              <c:v>Charakterisierung der </c:v>
            </c:pt>
            <c:pt idx="1">
              <c:v>0</c:v>
            </c:pt>
            <c:pt idx="2">
              <c:v>0</c:v>
            </c:pt>
          </c:strCache>
        </c:strRef>
      </c:tx>
      <c:layout>
        <c:manualLayout>
          <c:xMode val="edge"/>
          <c:yMode val="edge"/>
          <c:x val="0.45870559686863499"/>
          <c:y val="1.08527131782946E-2"/>
        </c:manualLayout>
      </c:layout>
      <c:overlay val="0"/>
    </c:title>
    <c:autoTitleDeleted val="0"/>
    <c:plotArea>
      <c:layout/>
      <c:barChart>
        <c:barDir val="col"/>
        <c:grouping val="stacked"/>
        <c:varyColors val="0"/>
        <c:ser>
          <c:idx val="0"/>
          <c:order val="0"/>
          <c:tx>
            <c:strRef>
              <c:f>Ergebnis!$A$4</c:f>
              <c:strCache>
                <c:ptCount val="1"/>
                <c:pt idx="0">
                  <c:v>KVA (inkl. direkte Emissionen)</c:v>
                </c:pt>
              </c:strCache>
            </c:strRef>
          </c:tx>
          <c:spPr>
            <a:solidFill>
              <a:schemeClr val="accent1">
                <a:lumMod val="75000"/>
              </a:schemeClr>
            </a:solidFill>
          </c:spPr>
          <c:invertIfNegative val="0"/>
          <c:cat>
            <c:strRef>
              <c:f>Ergebnis!$B$3:$D$3</c:f>
              <c:strCache>
                <c:ptCount val="3"/>
                <c:pt idx="0">
                  <c:v> Umweltbelastung absolut</c:v>
                </c:pt>
                <c:pt idx="1">
                  <c:v>Allokation der Umweltbelastung auf die Produkte</c:v>
                </c:pt>
                <c:pt idx="2">
                  <c:v>Prüfwert</c:v>
                </c:pt>
              </c:strCache>
            </c:strRef>
          </c:cat>
          <c:val>
            <c:numRef>
              <c:f>Ergebnis!$B$4:$D$4</c:f>
              <c:numCache>
                <c:formatCode>_(* #,##0.00_);_(* \(#,##0.00\);_(* "-"??_);_(@_)</c:formatCode>
                <c:ptCount val="3"/>
                <c:pt idx="0" formatCode="_ * #,##0_ ;_ * \-#,##0_ ;_ * &quot;-&quot;??_ ;_ @_ ">
                  <c:v>0</c:v>
                </c:pt>
              </c:numCache>
            </c:numRef>
          </c:val>
          <c:extLst>
            <c:ext xmlns:c16="http://schemas.microsoft.com/office/drawing/2014/chart" uri="{C3380CC4-5D6E-409C-BE32-E72D297353CC}">
              <c16:uniqueId val="{00000000-C650-4C4F-A7C1-EBD99611261A}"/>
            </c:ext>
          </c:extLst>
        </c:ser>
        <c:ser>
          <c:idx val="1"/>
          <c:order val="1"/>
          <c:tx>
            <c:strRef>
              <c:f>Ergebnis!$A$5</c:f>
              <c:strCache>
                <c:ptCount val="1"/>
                <c:pt idx="0">
                  <c:v>Hilfsstoffe + importierte Energieträger</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Ergebnis!$B$5:$D$5</c:f>
              <c:numCache>
                <c:formatCode>_(* #,##0.00_);_(* \(#,##0.00\);_(* "-"??_);_(@_)</c:formatCode>
                <c:ptCount val="3"/>
                <c:pt idx="0" formatCode="_ * #,##0_ ;_ * \-#,##0_ ;_ * &quot;-&quot;??_ ;_ @_ ">
                  <c:v>0</c:v>
                </c:pt>
              </c:numCache>
            </c:numRef>
          </c:val>
          <c:extLst>
            <c:ext xmlns:c16="http://schemas.microsoft.com/office/drawing/2014/chart" uri="{C3380CC4-5D6E-409C-BE32-E72D297353CC}">
              <c16:uniqueId val="{00000001-C650-4C4F-A7C1-EBD99611261A}"/>
            </c:ext>
          </c:extLst>
        </c:ser>
        <c:ser>
          <c:idx val="2"/>
          <c:order val="2"/>
          <c:tx>
            <c:strRef>
              <c:f>Ergebnis!$A$6</c:f>
              <c:strCache>
                <c:ptCount val="1"/>
                <c:pt idx="0">
                  <c:v>Behandlung Flugasche (inkl. Deponie)</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Ergebnis!$B$6:$D$6</c:f>
              <c:numCache>
                <c:formatCode>_(* #,##0.00_);_(* \(#,##0.00\);_(* "-"??_);_(@_)</c:formatCode>
                <c:ptCount val="3"/>
                <c:pt idx="0" formatCode="_ * #,##0_ ;_ * \-#,##0_ ;_ * &quot;-&quot;??_ ;_ @_ ">
                  <c:v>0</c:v>
                </c:pt>
              </c:numCache>
            </c:numRef>
          </c:val>
          <c:extLst>
            <c:ext xmlns:c16="http://schemas.microsoft.com/office/drawing/2014/chart" uri="{C3380CC4-5D6E-409C-BE32-E72D297353CC}">
              <c16:uniqueId val="{00000002-C650-4C4F-A7C1-EBD99611261A}"/>
            </c:ext>
          </c:extLst>
        </c:ser>
        <c:ser>
          <c:idx val="3"/>
          <c:order val="3"/>
          <c:tx>
            <c:strRef>
              <c:f>Ergebnis!$A$7</c:f>
              <c:strCache>
                <c:ptCount val="1"/>
                <c:pt idx="0">
                  <c:v>Deponierung Bodenasche</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Ergebnis!$B$7:$D$7</c:f>
              <c:numCache>
                <c:formatCode>_(* #,##0.00_);_(* \(#,##0.00\);_(* "-"??_);_(@_)</c:formatCode>
                <c:ptCount val="3"/>
                <c:pt idx="0" formatCode="_ * #,##0_ ;_ * \-#,##0_ ;_ * &quot;-&quot;??_ ;_ @_ ">
                  <c:v>0</c:v>
                </c:pt>
              </c:numCache>
            </c:numRef>
          </c:val>
          <c:extLst>
            <c:ext xmlns:c16="http://schemas.microsoft.com/office/drawing/2014/chart" uri="{C3380CC4-5D6E-409C-BE32-E72D297353CC}">
              <c16:uniqueId val="{00000003-C650-4C4F-A7C1-EBD99611261A}"/>
            </c:ext>
          </c:extLst>
        </c:ser>
        <c:ser>
          <c:idx val="5"/>
          <c:order val="4"/>
          <c:tx>
            <c:strRef>
              <c:f>Ergebnis!$A$11</c:f>
              <c:strCache>
                <c:ptCount val="1"/>
                <c:pt idx="0">
                  <c:v>Deponierung Gewebefilterrückstände</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Ergebnis!$B$11:$D$11</c:f>
              <c:numCache>
                <c:formatCode>_(* #,##0.00_);_(* \(#,##0.00\);_(* "-"??_);_(@_)</c:formatCode>
                <c:ptCount val="3"/>
                <c:pt idx="0" formatCode="_ * #,##0_ ;_ * \-#,##0_ ;_ * &quot;-&quot;??_ ;_ @_ ">
                  <c:v>0</c:v>
                </c:pt>
              </c:numCache>
            </c:numRef>
          </c:val>
          <c:extLst>
            <c:ext xmlns:c16="http://schemas.microsoft.com/office/drawing/2014/chart" uri="{C3380CC4-5D6E-409C-BE32-E72D297353CC}">
              <c16:uniqueId val="{00000004-C650-4C4F-A7C1-EBD99611261A}"/>
            </c:ext>
          </c:extLst>
        </c:ser>
        <c:ser>
          <c:idx val="6"/>
          <c:order val="5"/>
          <c:tx>
            <c:strRef>
              <c:f>Ergebnis!$A$12</c:f>
              <c:strCache>
                <c:ptCount val="1"/>
                <c:pt idx="0">
                  <c:v>Strom</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Ergebnis!$B$12:$D$12</c:f>
              <c:numCache>
                <c:formatCode>_ * #,##0_ ;_ * \-#,##0_ ;_ * "-"??_ ;_ @_ </c:formatCode>
                <c:ptCount val="3"/>
                <c:pt idx="1">
                  <c:v>0</c:v>
                </c:pt>
                <c:pt idx="2">
                  <c:v>0</c:v>
                </c:pt>
              </c:numCache>
            </c:numRef>
          </c:val>
          <c:extLst>
            <c:ext xmlns:c16="http://schemas.microsoft.com/office/drawing/2014/chart" uri="{C3380CC4-5D6E-409C-BE32-E72D297353CC}">
              <c16:uniqueId val="{00000005-C650-4C4F-A7C1-EBD99611261A}"/>
            </c:ext>
          </c:extLst>
        </c:ser>
        <c:ser>
          <c:idx val="7"/>
          <c:order val="6"/>
          <c:tx>
            <c:strRef>
              <c:f>Ergebnis!$A$13</c:f>
              <c:strCache>
                <c:ptCount val="1"/>
                <c:pt idx="0">
                  <c:v>Wärme</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Ergebnis!$B$13:$D$13</c:f>
              <c:numCache>
                <c:formatCode>_ * #,##0_ ;_ * \-#,##0_ ;_ * "-"??_ ;_ @_ </c:formatCode>
                <c:ptCount val="3"/>
                <c:pt idx="1">
                  <c:v>0</c:v>
                </c:pt>
                <c:pt idx="2">
                  <c:v>0</c:v>
                </c:pt>
              </c:numCache>
            </c:numRef>
          </c:val>
          <c:extLst>
            <c:ext xmlns:c16="http://schemas.microsoft.com/office/drawing/2014/chart" uri="{C3380CC4-5D6E-409C-BE32-E72D297353CC}">
              <c16:uniqueId val="{00000006-C650-4C4F-A7C1-EBD99611261A}"/>
            </c:ext>
          </c:extLst>
        </c:ser>
        <c:ser>
          <c:idx val="8"/>
          <c:order val="7"/>
          <c:tx>
            <c:strRef>
              <c:f>Ergebnis!$A$14</c:f>
              <c:strCache>
                <c:ptCount val="1"/>
                <c:pt idx="0">
                  <c:v>Entsorgungsfunktion</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Ergebnis!$B$14:$D$14</c:f>
              <c:numCache>
                <c:formatCode>_ * #,##0_ ;_ * \-#,##0_ ;_ * "-"??_ ;_ @_ </c:formatCode>
                <c:ptCount val="3"/>
                <c:pt idx="1">
                  <c:v>0</c:v>
                </c:pt>
                <c:pt idx="2">
                  <c:v>0</c:v>
                </c:pt>
              </c:numCache>
            </c:numRef>
          </c:val>
          <c:extLst>
            <c:ext xmlns:c16="http://schemas.microsoft.com/office/drawing/2014/chart" uri="{C3380CC4-5D6E-409C-BE32-E72D297353CC}">
              <c16:uniqueId val="{00000007-C650-4C4F-A7C1-EBD99611261A}"/>
            </c:ext>
          </c:extLst>
        </c:ser>
        <c:ser>
          <c:idx val="9"/>
          <c:order val="8"/>
          <c:tx>
            <c:strRef>
              <c:f>Ergebnis!$A$15</c:f>
              <c:strCache>
                <c:ptCount val="1"/>
                <c:pt idx="0">
                  <c:v>Sekundäraluminium, kg</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Ergebnis!$B$15:$D$15</c:f>
              <c:numCache>
                <c:formatCode>_ * #,##0_ ;_ * \-#,##0_ ;_ * "-"??_ ;_ @_ </c:formatCode>
                <c:ptCount val="3"/>
                <c:pt idx="1">
                  <c:v>0</c:v>
                </c:pt>
                <c:pt idx="2">
                  <c:v>0</c:v>
                </c:pt>
              </c:numCache>
            </c:numRef>
          </c:val>
          <c:extLst>
            <c:ext xmlns:c16="http://schemas.microsoft.com/office/drawing/2014/chart" uri="{C3380CC4-5D6E-409C-BE32-E72D297353CC}">
              <c16:uniqueId val="{00000008-C650-4C4F-A7C1-EBD99611261A}"/>
            </c:ext>
          </c:extLst>
        </c:ser>
        <c:ser>
          <c:idx val="10"/>
          <c:order val="9"/>
          <c:tx>
            <c:strRef>
              <c:f>Ergebnis!$A$16</c:f>
              <c:strCache>
                <c:ptCount val="1"/>
                <c:pt idx="0">
                  <c:v>Sekundärkupfer, kg</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Ergebnis!$B$16:$D$16</c:f>
              <c:numCache>
                <c:formatCode>_ * #,##0_ ;_ * \-#,##0_ ;_ * "-"??_ ;_ @_ </c:formatCode>
                <c:ptCount val="3"/>
                <c:pt idx="1">
                  <c:v>0</c:v>
                </c:pt>
                <c:pt idx="2">
                  <c:v>0</c:v>
                </c:pt>
              </c:numCache>
            </c:numRef>
          </c:val>
          <c:extLst>
            <c:ext xmlns:c16="http://schemas.microsoft.com/office/drawing/2014/chart" uri="{C3380CC4-5D6E-409C-BE32-E72D297353CC}">
              <c16:uniqueId val="{00000009-C650-4C4F-A7C1-EBD99611261A}"/>
            </c:ext>
          </c:extLst>
        </c:ser>
        <c:ser>
          <c:idx val="11"/>
          <c:order val="10"/>
          <c:tx>
            <c:strRef>
              <c:f>Ergebnis!$A$17</c:f>
              <c:strCache>
                <c:ptCount val="1"/>
                <c:pt idx="0">
                  <c:v>Sekundär-Gold, kg</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Ergebnis!$B$17:$D$17</c:f>
              <c:numCache>
                <c:formatCode>_ * #,##0_ ;_ * \-#,##0_ ;_ * "-"??_ ;_ @_ </c:formatCode>
                <c:ptCount val="3"/>
                <c:pt idx="1">
                  <c:v>0</c:v>
                </c:pt>
                <c:pt idx="2">
                  <c:v>0</c:v>
                </c:pt>
              </c:numCache>
            </c:numRef>
          </c:val>
          <c:extLst>
            <c:ext xmlns:c16="http://schemas.microsoft.com/office/drawing/2014/chart" uri="{C3380CC4-5D6E-409C-BE32-E72D297353CC}">
              <c16:uniqueId val="{0000000A-C650-4C4F-A7C1-EBD99611261A}"/>
            </c:ext>
          </c:extLst>
        </c:ser>
        <c:ser>
          <c:idx val="12"/>
          <c:order val="11"/>
          <c:tx>
            <c:strRef>
              <c:f>Ergebnis!$A$18</c:f>
              <c:strCache>
                <c:ptCount val="1"/>
                <c:pt idx="0">
                  <c:v>Sekundär-Edelstahl, kg</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Ergebnis!$B$18:$D$18</c:f>
              <c:numCache>
                <c:formatCode>_ * #,##0_ ;_ * \-#,##0_ ;_ * "-"??_ ;_ @_ </c:formatCode>
                <c:ptCount val="3"/>
                <c:pt idx="1">
                  <c:v>0</c:v>
                </c:pt>
                <c:pt idx="2">
                  <c:v>0</c:v>
                </c:pt>
              </c:numCache>
            </c:numRef>
          </c:val>
          <c:extLst>
            <c:ext xmlns:c16="http://schemas.microsoft.com/office/drawing/2014/chart" uri="{C3380CC4-5D6E-409C-BE32-E72D297353CC}">
              <c16:uniqueId val="{0000000B-C650-4C4F-A7C1-EBD99611261A}"/>
            </c:ext>
          </c:extLst>
        </c:ser>
        <c:ser>
          <c:idx val="13"/>
          <c:order val="12"/>
          <c:tx>
            <c:strRef>
              <c:f>Ergebnis!$A$23</c:f>
              <c:strCache>
                <c:ptCount val="1"/>
                <c:pt idx="0">
                  <c:v>Eisenschrott, kg</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Ergebnis!$B$23:$D$23</c:f>
              <c:numCache>
                <c:formatCode>_ * #,##0_ ;_ * \-#,##0_ ;_ * "-"??_ ;_ @_ </c:formatCode>
                <c:ptCount val="3"/>
                <c:pt idx="1">
                  <c:v>0</c:v>
                </c:pt>
                <c:pt idx="2">
                  <c:v>0</c:v>
                </c:pt>
              </c:numCache>
            </c:numRef>
          </c:val>
          <c:extLst>
            <c:ext xmlns:c16="http://schemas.microsoft.com/office/drawing/2014/chart" uri="{C3380CC4-5D6E-409C-BE32-E72D297353CC}">
              <c16:uniqueId val="{0000000C-C650-4C4F-A7C1-EBD99611261A}"/>
            </c:ext>
          </c:extLst>
        </c:ser>
        <c:ser>
          <c:idx val="14"/>
          <c:order val="13"/>
          <c:tx>
            <c:strRef>
              <c:f>Ergebnis!$A$24</c:f>
              <c:strCache>
                <c:ptCount val="1"/>
                <c:pt idx="0">
                  <c:v>Sekundärzink, kg</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Ergebnis!$B$24:$D$24</c:f>
              <c:numCache>
                <c:formatCode>_ * #,##0_ ;_ * \-#,##0_ ;_ * "-"??_ ;_ @_ </c:formatCode>
                <c:ptCount val="3"/>
                <c:pt idx="1">
                  <c:v>0</c:v>
                </c:pt>
                <c:pt idx="2">
                  <c:v>0</c:v>
                </c:pt>
              </c:numCache>
            </c:numRef>
          </c:val>
          <c:extLst>
            <c:ext xmlns:c16="http://schemas.microsoft.com/office/drawing/2014/chart" uri="{C3380CC4-5D6E-409C-BE32-E72D297353CC}">
              <c16:uniqueId val="{0000000D-C650-4C4F-A7C1-EBD99611261A}"/>
            </c:ext>
          </c:extLst>
        </c:ser>
        <c:ser>
          <c:idx val="15"/>
          <c:order val="14"/>
          <c:tx>
            <c:strRef>
              <c:f>Ergebnis!$A$25</c:f>
              <c:strCache>
                <c:ptCount val="1"/>
                <c:pt idx="0">
                  <c:v>Sekundär-Zinkkonzentrat, kg</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Ergebnis!$B$25:$D$25</c:f>
              <c:numCache>
                <c:formatCode>_ * #,##0_ ;_ * \-#,##0_ ;_ * "-"??_ ;_ @_ </c:formatCode>
                <c:ptCount val="3"/>
                <c:pt idx="1">
                  <c:v>0</c:v>
                </c:pt>
                <c:pt idx="2">
                  <c:v>0</c:v>
                </c:pt>
              </c:numCache>
            </c:numRef>
          </c:val>
          <c:extLst>
            <c:ext xmlns:c16="http://schemas.microsoft.com/office/drawing/2014/chart" uri="{C3380CC4-5D6E-409C-BE32-E72D297353CC}">
              <c16:uniqueId val="{0000000E-C650-4C4F-A7C1-EBD99611261A}"/>
            </c:ext>
          </c:extLst>
        </c:ser>
        <c:ser>
          <c:idx val="16"/>
          <c:order val="15"/>
          <c:tx>
            <c:strRef>
              <c:f>Ergebnis!$A$26</c:f>
              <c:strCache>
                <c:ptCount val="1"/>
                <c:pt idx="0">
                  <c:v>Sekundär-Bleikonzentrat, kg</c:v>
                </c:pt>
              </c:strCache>
            </c:strRef>
          </c:tx>
          <c:invertIfNegative val="0"/>
          <c:cat>
            <c:strRef>
              <c:f>Ergebnis!$B$3:$D$3</c:f>
              <c:strCache>
                <c:ptCount val="3"/>
                <c:pt idx="0">
                  <c:v> Umweltbelastung absolut</c:v>
                </c:pt>
                <c:pt idx="1">
                  <c:v>Allokation der Umweltbelastung auf die Produkte</c:v>
                </c:pt>
                <c:pt idx="2">
                  <c:v>Prüfwert</c:v>
                </c:pt>
              </c:strCache>
            </c:strRef>
          </c:cat>
          <c:val>
            <c:numRef>
              <c:f>Ergebnis!$B$26:$D$26</c:f>
              <c:numCache>
                <c:formatCode>_ * #,##0_ ;_ * \-#,##0_ ;_ * "-"??_ ;_ @_ </c:formatCode>
                <c:ptCount val="3"/>
                <c:pt idx="1">
                  <c:v>0</c:v>
                </c:pt>
                <c:pt idx="2">
                  <c:v>0</c:v>
                </c:pt>
              </c:numCache>
            </c:numRef>
          </c:val>
          <c:extLst>
            <c:ext xmlns:c16="http://schemas.microsoft.com/office/drawing/2014/chart" uri="{C3380CC4-5D6E-409C-BE32-E72D297353CC}">
              <c16:uniqueId val="{0000000F-C650-4C4F-A7C1-EBD99611261A}"/>
            </c:ext>
          </c:extLst>
        </c:ser>
        <c:dLbls>
          <c:showLegendKey val="0"/>
          <c:showVal val="0"/>
          <c:showCatName val="0"/>
          <c:showSerName val="0"/>
          <c:showPercent val="0"/>
          <c:showBubbleSize val="0"/>
        </c:dLbls>
        <c:gapWidth val="95"/>
        <c:overlap val="100"/>
        <c:axId val="207258368"/>
        <c:axId val="207259904"/>
      </c:barChart>
      <c:catAx>
        <c:axId val="207258368"/>
        <c:scaling>
          <c:orientation val="minMax"/>
        </c:scaling>
        <c:delete val="0"/>
        <c:axPos val="b"/>
        <c:numFmt formatCode="General" sourceLinked="0"/>
        <c:majorTickMark val="none"/>
        <c:minorTickMark val="none"/>
        <c:tickLblPos val="nextTo"/>
        <c:crossAx val="207259904"/>
        <c:crosses val="autoZero"/>
        <c:auto val="1"/>
        <c:lblAlgn val="ctr"/>
        <c:lblOffset val="100"/>
        <c:noMultiLvlLbl val="0"/>
      </c:catAx>
      <c:valAx>
        <c:axId val="207259904"/>
        <c:scaling>
          <c:orientation val="minMax"/>
        </c:scaling>
        <c:delete val="0"/>
        <c:axPos val="l"/>
        <c:majorGridlines/>
        <c:title>
          <c:tx>
            <c:rich>
              <a:bodyPr/>
              <a:lstStyle/>
              <a:p>
                <a:pPr>
                  <a:defRPr/>
                </a:pPr>
                <a:r>
                  <a:rPr lang="en-US"/>
                  <a:t>Eco-Indicator 99 (H/A) Punkte</a:t>
                </a:r>
                <a:r>
                  <a:rPr lang="en-US" baseline="0"/>
                  <a:t> pro Jahr</a:t>
                </a:r>
                <a:endParaRPr lang="en-US"/>
              </a:p>
            </c:rich>
          </c:tx>
          <c:layout>
            <c:manualLayout>
              <c:xMode val="edge"/>
              <c:yMode val="edge"/>
              <c:x val="0.170704240497216"/>
              <c:y val="0.100462812981699"/>
            </c:manualLayout>
          </c:layout>
          <c:overlay val="0"/>
        </c:title>
        <c:numFmt formatCode="_ * #,##0_ ;_ * \-#,##0_ ;_ * &quot;-&quot;??_ ;_ @_ " sourceLinked="1"/>
        <c:majorTickMark val="none"/>
        <c:minorTickMark val="none"/>
        <c:tickLblPos val="nextTo"/>
        <c:crossAx val="207258368"/>
        <c:crosses val="autoZero"/>
        <c:crossBetween val="between"/>
      </c:valAx>
      <c:dTable>
        <c:showHorzBorder val="1"/>
        <c:showVertBorder val="1"/>
        <c:showOutline val="1"/>
        <c:showKeys val="1"/>
        <c:spPr>
          <a:solidFill>
            <a:sysClr val="window" lastClr="FFFFFF"/>
          </a:solidFill>
        </c:spPr>
      </c:dTable>
      <c:spPr>
        <a:solidFill>
          <a:sysClr val="window" lastClr="FFFFFF"/>
        </a:solidFill>
      </c:spPr>
    </c:plotArea>
    <c:plotVisOnly val="1"/>
    <c:dispBlanksAs val="gap"/>
    <c:showDLblsOverMax val="0"/>
  </c:chart>
  <c:spPr>
    <a:solidFill>
      <a:sysClr val="window" lastClr="FFFFFF"/>
    </a:solidFill>
  </c:spPr>
  <c:txPr>
    <a:bodyPr/>
    <a:lstStyle/>
    <a:p>
      <a:pPr>
        <a:defRPr sz="1100">
          <a:latin typeface="Arial" panose="020B0604020202020204" pitchFamily="34" charset="0"/>
          <a:cs typeface="Arial" panose="020B0604020202020204" pitchFamily="34" charset="0"/>
        </a:defRPr>
      </a:pPr>
      <a:endParaRPr lang="de-DE"/>
    </a:p>
  </c:txPr>
  <c:printSettings>
    <c:headerFooter alignWithMargins="0">
      <c:oddHeader>&amp;Lnaturemade Star Prüfung von Energieprodukten&amp;REnergie aus Vergärung</c:oddHeader>
      <c:oddFooter>&amp;L(c) ESU-services GmbH&amp;Zwww.esu-services.ch&amp;R&amp;N</c:oddFooter>
    </c:headerFooter>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'Ergebnis pro Tonne'!$F$11:$H$11</c:f>
          <c:strCache>
            <c:ptCount val="3"/>
            <c:pt idx="0">
              <c:v>Charakterisierung der </c:v>
            </c:pt>
            <c:pt idx="1">
              <c:v>0</c:v>
            </c:pt>
            <c:pt idx="2">
              <c:v>0</c:v>
            </c:pt>
          </c:strCache>
        </c:strRef>
      </c:tx>
      <c:layout>
        <c:manualLayout>
          <c:xMode val="edge"/>
          <c:yMode val="edge"/>
          <c:x val="0.45194503288854698"/>
          <c:y val="1.5151515151515201E-2"/>
        </c:manualLayout>
      </c:layout>
      <c:overlay val="0"/>
    </c:title>
    <c:autoTitleDeleted val="0"/>
    <c:plotArea>
      <c:layout/>
      <c:barChart>
        <c:barDir val="col"/>
        <c:grouping val="stacked"/>
        <c:varyColors val="0"/>
        <c:ser>
          <c:idx val="0"/>
          <c:order val="0"/>
          <c:tx>
            <c:strRef>
              <c:f>'Ergebnis pro Tonne'!$A$4</c:f>
              <c:strCache>
                <c:ptCount val="1"/>
                <c:pt idx="0">
                  <c:v>KVA (inkl. direkte Emissionen)</c:v>
                </c:pt>
              </c:strCache>
            </c:strRef>
          </c:tx>
          <c:spPr>
            <a:solidFill>
              <a:schemeClr val="accent1">
                <a:lumMod val="75000"/>
              </a:schemeClr>
            </a:solidFill>
          </c:spPr>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Tonne'!$B$4:$D$4</c:f>
              <c:numCache>
                <c:formatCode>_(* #,##0.00_);_(* \(#,##0.00\);_(* "-"??_);_(@_)</c:formatCode>
                <c:ptCount val="3"/>
                <c:pt idx="0">
                  <c:v>0</c:v>
                </c:pt>
              </c:numCache>
            </c:numRef>
          </c:val>
          <c:extLst>
            <c:ext xmlns:c16="http://schemas.microsoft.com/office/drawing/2014/chart" uri="{C3380CC4-5D6E-409C-BE32-E72D297353CC}">
              <c16:uniqueId val="{00000000-F218-4B64-AC95-0DF7580C4B6E}"/>
            </c:ext>
          </c:extLst>
        </c:ser>
        <c:ser>
          <c:idx val="1"/>
          <c:order val="1"/>
          <c:tx>
            <c:strRef>
              <c:f>'Ergebnis pro Tonne'!$A$5</c:f>
              <c:strCache>
                <c:ptCount val="1"/>
                <c:pt idx="0">
                  <c:v>Hilfsstoffe + importierte Energieträger</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Tonne'!$B$5:$D$5</c:f>
              <c:numCache>
                <c:formatCode>_(* #,##0.00_);_(* \(#,##0.00\);_(* "-"??_);_(@_)</c:formatCode>
                <c:ptCount val="3"/>
                <c:pt idx="0">
                  <c:v>0</c:v>
                </c:pt>
              </c:numCache>
            </c:numRef>
          </c:val>
          <c:extLst>
            <c:ext xmlns:c16="http://schemas.microsoft.com/office/drawing/2014/chart" uri="{C3380CC4-5D6E-409C-BE32-E72D297353CC}">
              <c16:uniqueId val="{00000001-F218-4B64-AC95-0DF7580C4B6E}"/>
            </c:ext>
          </c:extLst>
        </c:ser>
        <c:ser>
          <c:idx val="2"/>
          <c:order val="2"/>
          <c:tx>
            <c:strRef>
              <c:f>'Ergebnis pro Tonne'!$A$6</c:f>
              <c:strCache>
                <c:ptCount val="1"/>
                <c:pt idx="0">
                  <c:v>Behandlung Flugasche (inkl. Deponie)</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Tonne'!$B$6:$D$6</c:f>
              <c:numCache>
                <c:formatCode>_(* #,##0.00_);_(* \(#,##0.00\);_(* "-"??_);_(@_)</c:formatCode>
                <c:ptCount val="3"/>
                <c:pt idx="0">
                  <c:v>0</c:v>
                </c:pt>
              </c:numCache>
            </c:numRef>
          </c:val>
          <c:extLst>
            <c:ext xmlns:c16="http://schemas.microsoft.com/office/drawing/2014/chart" uri="{C3380CC4-5D6E-409C-BE32-E72D297353CC}">
              <c16:uniqueId val="{00000002-F218-4B64-AC95-0DF7580C4B6E}"/>
            </c:ext>
          </c:extLst>
        </c:ser>
        <c:ser>
          <c:idx val="3"/>
          <c:order val="3"/>
          <c:tx>
            <c:strRef>
              <c:f>'Ergebnis pro Tonne'!$A$7</c:f>
              <c:strCache>
                <c:ptCount val="1"/>
                <c:pt idx="0">
                  <c:v>Deponierung Bodenasche</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Tonne'!$B$7:$D$7</c:f>
              <c:numCache>
                <c:formatCode>_(* #,##0.00_);_(* \(#,##0.00\);_(* "-"??_);_(@_)</c:formatCode>
                <c:ptCount val="3"/>
                <c:pt idx="0">
                  <c:v>0</c:v>
                </c:pt>
              </c:numCache>
            </c:numRef>
          </c:val>
          <c:extLst>
            <c:ext xmlns:c16="http://schemas.microsoft.com/office/drawing/2014/chart" uri="{C3380CC4-5D6E-409C-BE32-E72D297353CC}">
              <c16:uniqueId val="{00000003-F218-4B64-AC95-0DF7580C4B6E}"/>
            </c:ext>
          </c:extLst>
        </c:ser>
        <c:ser>
          <c:idx val="5"/>
          <c:order val="4"/>
          <c:tx>
            <c:strRef>
              <c:f>'Ergebnis pro Tonne'!$A$11</c:f>
              <c:strCache>
                <c:ptCount val="1"/>
                <c:pt idx="0">
                  <c:v>Deponierung Gewebefilterrückstände</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Tonne'!$B$11:$D$11</c:f>
              <c:numCache>
                <c:formatCode>_(* #,##0.00_);_(* \(#,##0.00\);_(* "-"??_);_(@_)</c:formatCode>
                <c:ptCount val="3"/>
                <c:pt idx="0">
                  <c:v>0</c:v>
                </c:pt>
              </c:numCache>
            </c:numRef>
          </c:val>
          <c:extLst>
            <c:ext xmlns:c16="http://schemas.microsoft.com/office/drawing/2014/chart" uri="{C3380CC4-5D6E-409C-BE32-E72D297353CC}">
              <c16:uniqueId val="{00000004-F218-4B64-AC95-0DF7580C4B6E}"/>
            </c:ext>
          </c:extLst>
        </c:ser>
        <c:ser>
          <c:idx val="6"/>
          <c:order val="5"/>
          <c:tx>
            <c:strRef>
              <c:f>'Ergebnis pro Tonne'!$A$12</c:f>
              <c:strCache>
                <c:ptCount val="1"/>
                <c:pt idx="0">
                  <c:v>Strom</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Tonne'!$B$12:$D$12</c:f>
              <c:numCache>
                <c:formatCode>_(* #,##0.00_);_(* \(#,##0.00\);_(* "-"??_);_(@_)</c:formatCode>
                <c:ptCount val="3"/>
                <c:pt idx="1">
                  <c:v>0</c:v>
                </c:pt>
                <c:pt idx="2">
                  <c:v>0</c:v>
                </c:pt>
              </c:numCache>
            </c:numRef>
          </c:val>
          <c:extLst>
            <c:ext xmlns:c16="http://schemas.microsoft.com/office/drawing/2014/chart" uri="{C3380CC4-5D6E-409C-BE32-E72D297353CC}">
              <c16:uniqueId val="{00000005-F218-4B64-AC95-0DF7580C4B6E}"/>
            </c:ext>
          </c:extLst>
        </c:ser>
        <c:ser>
          <c:idx val="7"/>
          <c:order val="6"/>
          <c:tx>
            <c:strRef>
              <c:f>'Ergebnis pro Tonne'!$A$13</c:f>
              <c:strCache>
                <c:ptCount val="1"/>
                <c:pt idx="0">
                  <c:v>Wärme</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Tonne'!$B$13:$D$13</c:f>
              <c:numCache>
                <c:formatCode>_(* #,##0.00_);_(* \(#,##0.00\);_(* "-"??_);_(@_)</c:formatCode>
                <c:ptCount val="3"/>
                <c:pt idx="1">
                  <c:v>0</c:v>
                </c:pt>
                <c:pt idx="2">
                  <c:v>0</c:v>
                </c:pt>
              </c:numCache>
            </c:numRef>
          </c:val>
          <c:extLst>
            <c:ext xmlns:c16="http://schemas.microsoft.com/office/drawing/2014/chart" uri="{C3380CC4-5D6E-409C-BE32-E72D297353CC}">
              <c16:uniqueId val="{00000006-F218-4B64-AC95-0DF7580C4B6E}"/>
            </c:ext>
          </c:extLst>
        </c:ser>
        <c:ser>
          <c:idx val="8"/>
          <c:order val="7"/>
          <c:tx>
            <c:strRef>
              <c:f>'Ergebnis pro Tonne'!$A$14</c:f>
              <c:strCache>
                <c:ptCount val="1"/>
                <c:pt idx="0">
                  <c:v>Entsorgungsfunktion</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Tonne'!$B$14:$D$14</c:f>
              <c:numCache>
                <c:formatCode>_(* #,##0.00_);_(* \(#,##0.00\);_(* "-"??_);_(@_)</c:formatCode>
                <c:ptCount val="3"/>
                <c:pt idx="1">
                  <c:v>0</c:v>
                </c:pt>
                <c:pt idx="2">
                  <c:v>0</c:v>
                </c:pt>
              </c:numCache>
            </c:numRef>
          </c:val>
          <c:extLst>
            <c:ext xmlns:c16="http://schemas.microsoft.com/office/drawing/2014/chart" uri="{C3380CC4-5D6E-409C-BE32-E72D297353CC}">
              <c16:uniqueId val="{00000007-F218-4B64-AC95-0DF7580C4B6E}"/>
            </c:ext>
          </c:extLst>
        </c:ser>
        <c:ser>
          <c:idx val="9"/>
          <c:order val="8"/>
          <c:tx>
            <c:strRef>
              <c:f>'Ergebnis pro Tonne'!$A$15</c:f>
              <c:strCache>
                <c:ptCount val="1"/>
                <c:pt idx="0">
                  <c:v>Sekundäraluminium, kg</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Tonne'!$B$15:$D$15</c:f>
              <c:numCache>
                <c:formatCode>_(* #,##0.00_);_(* \(#,##0.00\);_(* "-"??_);_(@_)</c:formatCode>
                <c:ptCount val="3"/>
                <c:pt idx="1">
                  <c:v>0</c:v>
                </c:pt>
                <c:pt idx="2">
                  <c:v>0</c:v>
                </c:pt>
              </c:numCache>
            </c:numRef>
          </c:val>
          <c:extLst>
            <c:ext xmlns:c16="http://schemas.microsoft.com/office/drawing/2014/chart" uri="{C3380CC4-5D6E-409C-BE32-E72D297353CC}">
              <c16:uniqueId val="{00000008-F218-4B64-AC95-0DF7580C4B6E}"/>
            </c:ext>
          </c:extLst>
        </c:ser>
        <c:ser>
          <c:idx val="10"/>
          <c:order val="9"/>
          <c:tx>
            <c:strRef>
              <c:f>'Ergebnis pro Tonne'!$A$16</c:f>
              <c:strCache>
                <c:ptCount val="1"/>
                <c:pt idx="0">
                  <c:v>Sekundärkupfer, kg</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Tonne'!$B$16:$D$16</c:f>
              <c:numCache>
                <c:formatCode>_(* #,##0.00_);_(* \(#,##0.00\);_(* "-"??_);_(@_)</c:formatCode>
                <c:ptCount val="3"/>
                <c:pt idx="1">
                  <c:v>0</c:v>
                </c:pt>
                <c:pt idx="2">
                  <c:v>0</c:v>
                </c:pt>
              </c:numCache>
            </c:numRef>
          </c:val>
          <c:extLst>
            <c:ext xmlns:c16="http://schemas.microsoft.com/office/drawing/2014/chart" uri="{C3380CC4-5D6E-409C-BE32-E72D297353CC}">
              <c16:uniqueId val="{00000009-F218-4B64-AC95-0DF7580C4B6E}"/>
            </c:ext>
          </c:extLst>
        </c:ser>
        <c:ser>
          <c:idx val="11"/>
          <c:order val="10"/>
          <c:tx>
            <c:strRef>
              <c:f>'Ergebnis pro Tonne'!$A$17</c:f>
              <c:strCache>
                <c:ptCount val="1"/>
                <c:pt idx="0">
                  <c:v>Sekundär-Gold, kg</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Tonne'!$B$17:$D$17</c:f>
              <c:numCache>
                <c:formatCode>_(* #,##0.00_);_(* \(#,##0.00\);_(* "-"??_);_(@_)</c:formatCode>
                <c:ptCount val="3"/>
                <c:pt idx="1">
                  <c:v>0</c:v>
                </c:pt>
                <c:pt idx="2">
                  <c:v>0</c:v>
                </c:pt>
              </c:numCache>
            </c:numRef>
          </c:val>
          <c:extLst>
            <c:ext xmlns:c16="http://schemas.microsoft.com/office/drawing/2014/chart" uri="{C3380CC4-5D6E-409C-BE32-E72D297353CC}">
              <c16:uniqueId val="{0000000A-F218-4B64-AC95-0DF7580C4B6E}"/>
            </c:ext>
          </c:extLst>
        </c:ser>
        <c:ser>
          <c:idx val="12"/>
          <c:order val="11"/>
          <c:tx>
            <c:strRef>
              <c:f>'Ergebnis pro Tonne'!$A$18</c:f>
              <c:strCache>
                <c:ptCount val="1"/>
                <c:pt idx="0">
                  <c:v>Sekundär-Edelstahl, kg</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Tonne'!$B$18:$D$18</c:f>
              <c:numCache>
                <c:formatCode>_(* #,##0.00_);_(* \(#,##0.00\);_(* "-"??_);_(@_)</c:formatCode>
                <c:ptCount val="3"/>
                <c:pt idx="1">
                  <c:v>0</c:v>
                </c:pt>
                <c:pt idx="2">
                  <c:v>0</c:v>
                </c:pt>
              </c:numCache>
            </c:numRef>
          </c:val>
          <c:extLst>
            <c:ext xmlns:c16="http://schemas.microsoft.com/office/drawing/2014/chart" uri="{C3380CC4-5D6E-409C-BE32-E72D297353CC}">
              <c16:uniqueId val="{0000000B-F218-4B64-AC95-0DF7580C4B6E}"/>
            </c:ext>
          </c:extLst>
        </c:ser>
        <c:ser>
          <c:idx val="13"/>
          <c:order val="12"/>
          <c:tx>
            <c:strRef>
              <c:f>'Ergebnis pro Tonne'!$A$23</c:f>
              <c:strCache>
                <c:ptCount val="1"/>
                <c:pt idx="0">
                  <c:v>Eisenschrott, kg</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Tonne'!$B$23:$D$23</c:f>
              <c:numCache>
                <c:formatCode>_(* #,##0.00_);_(* \(#,##0.00\);_(* "-"??_);_(@_)</c:formatCode>
                <c:ptCount val="3"/>
                <c:pt idx="1">
                  <c:v>0</c:v>
                </c:pt>
                <c:pt idx="2">
                  <c:v>0</c:v>
                </c:pt>
              </c:numCache>
            </c:numRef>
          </c:val>
          <c:extLst>
            <c:ext xmlns:c16="http://schemas.microsoft.com/office/drawing/2014/chart" uri="{C3380CC4-5D6E-409C-BE32-E72D297353CC}">
              <c16:uniqueId val="{0000000C-F218-4B64-AC95-0DF7580C4B6E}"/>
            </c:ext>
          </c:extLst>
        </c:ser>
        <c:ser>
          <c:idx val="14"/>
          <c:order val="13"/>
          <c:tx>
            <c:strRef>
              <c:f>'Ergebnis pro Tonne'!$A$24</c:f>
              <c:strCache>
                <c:ptCount val="1"/>
                <c:pt idx="0">
                  <c:v>Sekundärzink, kg</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Tonne'!$B$24:$D$24</c:f>
              <c:numCache>
                <c:formatCode>_(* #,##0.00_);_(* \(#,##0.00\);_(* "-"??_);_(@_)</c:formatCode>
                <c:ptCount val="3"/>
                <c:pt idx="1">
                  <c:v>0</c:v>
                </c:pt>
                <c:pt idx="2">
                  <c:v>0</c:v>
                </c:pt>
              </c:numCache>
            </c:numRef>
          </c:val>
          <c:extLst>
            <c:ext xmlns:c16="http://schemas.microsoft.com/office/drawing/2014/chart" uri="{C3380CC4-5D6E-409C-BE32-E72D297353CC}">
              <c16:uniqueId val="{0000000D-F218-4B64-AC95-0DF7580C4B6E}"/>
            </c:ext>
          </c:extLst>
        </c:ser>
        <c:ser>
          <c:idx val="15"/>
          <c:order val="14"/>
          <c:tx>
            <c:strRef>
              <c:f>'Ergebnis pro Tonne'!$A$25</c:f>
              <c:strCache>
                <c:ptCount val="1"/>
                <c:pt idx="0">
                  <c:v>Sekundär-Zinkkonzentrat, kg</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Tonne'!$B$25:$D$25</c:f>
              <c:numCache>
                <c:formatCode>_(* #,##0.00_);_(* \(#,##0.00\);_(* "-"??_);_(@_)</c:formatCode>
                <c:ptCount val="3"/>
                <c:pt idx="1">
                  <c:v>0</c:v>
                </c:pt>
                <c:pt idx="2">
                  <c:v>0</c:v>
                </c:pt>
              </c:numCache>
            </c:numRef>
          </c:val>
          <c:extLst>
            <c:ext xmlns:c16="http://schemas.microsoft.com/office/drawing/2014/chart" uri="{C3380CC4-5D6E-409C-BE32-E72D297353CC}">
              <c16:uniqueId val="{0000000E-F218-4B64-AC95-0DF7580C4B6E}"/>
            </c:ext>
          </c:extLst>
        </c:ser>
        <c:ser>
          <c:idx val="16"/>
          <c:order val="15"/>
          <c:tx>
            <c:strRef>
              <c:f>'Ergebnis pro Tonne'!$A$26</c:f>
              <c:strCache>
                <c:ptCount val="1"/>
                <c:pt idx="0">
                  <c:v>Sekundär-Bleikonzentrat, kg</c:v>
                </c:pt>
              </c:strCache>
            </c:strRef>
          </c:tx>
          <c:invertIfNegative val="0"/>
          <c:cat>
            <c:strRef>
              <c:f>'Ergebnis pro Tonne'!$B$3:$D$3</c:f>
              <c:strCache>
                <c:ptCount val="3"/>
                <c:pt idx="0">
                  <c:v> Umweltbelastung pro Tonne Abfall</c:v>
                </c:pt>
                <c:pt idx="1">
                  <c:v>Allokation der Umweltbelastung auf die Produkte</c:v>
                </c:pt>
                <c:pt idx="2">
                  <c:v>Prüfwert</c:v>
                </c:pt>
              </c:strCache>
            </c:strRef>
          </c:cat>
          <c:val>
            <c:numRef>
              <c:f>'Ergebnis pro Tonne'!$B$26:$D$26</c:f>
              <c:numCache>
                <c:formatCode>_(* #,##0.00_);_(* \(#,##0.00\);_(* "-"??_);_(@_)</c:formatCode>
                <c:ptCount val="3"/>
                <c:pt idx="1">
                  <c:v>0</c:v>
                </c:pt>
                <c:pt idx="2">
                  <c:v>0</c:v>
                </c:pt>
              </c:numCache>
            </c:numRef>
          </c:val>
          <c:extLst>
            <c:ext xmlns:c16="http://schemas.microsoft.com/office/drawing/2014/chart" uri="{C3380CC4-5D6E-409C-BE32-E72D297353CC}">
              <c16:uniqueId val="{0000000F-F218-4B64-AC95-0DF7580C4B6E}"/>
            </c:ext>
          </c:extLst>
        </c:ser>
        <c:dLbls>
          <c:showLegendKey val="0"/>
          <c:showVal val="0"/>
          <c:showCatName val="0"/>
          <c:showSerName val="0"/>
          <c:showPercent val="0"/>
          <c:showBubbleSize val="0"/>
        </c:dLbls>
        <c:gapWidth val="95"/>
        <c:overlap val="100"/>
        <c:axId val="210109184"/>
        <c:axId val="210110720"/>
      </c:barChart>
      <c:catAx>
        <c:axId val="210109184"/>
        <c:scaling>
          <c:orientation val="minMax"/>
        </c:scaling>
        <c:delete val="0"/>
        <c:axPos val="b"/>
        <c:numFmt formatCode="General" sourceLinked="0"/>
        <c:majorTickMark val="none"/>
        <c:minorTickMark val="none"/>
        <c:tickLblPos val="nextTo"/>
        <c:crossAx val="210110720"/>
        <c:crosses val="autoZero"/>
        <c:auto val="1"/>
        <c:lblAlgn val="ctr"/>
        <c:lblOffset val="100"/>
        <c:noMultiLvlLbl val="0"/>
      </c:catAx>
      <c:valAx>
        <c:axId val="210110720"/>
        <c:scaling>
          <c:orientation val="minMax"/>
        </c:scaling>
        <c:delete val="0"/>
        <c:axPos val="l"/>
        <c:majorGridlines/>
        <c:title>
          <c:tx>
            <c:rich>
              <a:bodyPr/>
              <a:lstStyle/>
              <a:p>
                <a:pPr>
                  <a:defRPr/>
                </a:pPr>
                <a:r>
                  <a:rPr lang="en-US"/>
                  <a:t>Eco-Indicator 99 (H/A) Punkte</a:t>
                </a:r>
                <a:r>
                  <a:rPr lang="en-US" baseline="0"/>
                  <a:t> pro Tonne Abfall</a:t>
                </a:r>
                <a:endParaRPr lang="en-US"/>
              </a:p>
            </c:rich>
          </c:tx>
          <c:layout>
            <c:manualLayout>
              <c:xMode val="edge"/>
              <c:yMode val="edge"/>
              <c:x val="0.17464793897392"/>
              <c:y val="6.7971128608923903E-2"/>
            </c:manualLayout>
          </c:layout>
          <c:overlay val="0"/>
        </c:title>
        <c:numFmt formatCode="_(* #,##0.00_);_(* \(#,##0.00\);_(* &quot;-&quot;??_);_(@_)" sourceLinked="1"/>
        <c:majorTickMark val="none"/>
        <c:minorTickMark val="none"/>
        <c:tickLblPos val="nextTo"/>
        <c:crossAx val="210109184"/>
        <c:crosses val="autoZero"/>
        <c:crossBetween val="between"/>
      </c:valAx>
      <c:dTable>
        <c:showHorzBorder val="1"/>
        <c:showVertBorder val="1"/>
        <c:showOutline val="1"/>
        <c:showKeys val="1"/>
        <c:spPr>
          <a:solidFill>
            <a:sysClr val="window" lastClr="FFFFFF"/>
          </a:solidFill>
        </c:spPr>
      </c:dTable>
      <c:spPr>
        <a:solidFill>
          <a:sysClr val="window" lastClr="FFFFFF"/>
        </a:solidFill>
      </c:spPr>
    </c:plotArea>
    <c:plotVisOnly val="1"/>
    <c:dispBlanksAs val="gap"/>
    <c:showDLblsOverMax val="0"/>
  </c:chart>
  <c:spPr>
    <a:solidFill>
      <a:sysClr val="window" lastClr="FFFFFF"/>
    </a:solidFill>
  </c:spPr>
  <c:txPr>
    <a:bodyPr/>
    <a:lstStyle/>
    <a:p>
      <a:pPr>
        <a:defRPr sz="1100">
          <a:latin typeface="Arial" panose="020B0604020202020204" pitchFamily="34" charset="0"/>
          <a:cs typeface="Arial" panose="020B0604020202020204" pitchFamily="34" charset="0"/>
        </a:defRPr>
      </a:pPr>
      <a:endParaRPr lang="de-DE"/>
    </a:p>
  </c:txPr>
  <c:printSettings>
    <c:headerFooter alignWithMargins="0">
      <c:oddHeader>&amp;Lnaturemade Star Prüfung von Energieprodukten&amp;REnergie aus Vergärung</c:oddHeader>
      <c:oddFooter>&amp;L(c) ESU-services GmbH&amp;Zwww.esu-services.ch&amp;R&amp;N</c:oddFooter>
    </c:headerFooter>
    <c:pageMargins b="0.984251969" l="0.78740157499999996" r="0.78740157499999996" t="0.984251969" header="0.4921259845" footer="0.4921259845"/>
    <c:pageSetup paperSize="9" orientation="landscape"/>
  </c:printSettings>
</c:chartSpace>
</file>

<file path=xl/ctrlProps/ctrlProp1.xml><?xml version="1.0" encoding="utf-8"?>
<formControlPr xmlns="http://schemas.microsoft.com/office/spreadsheetml/2009/9/main" objectType="Drop" dropLines="74" dropStyle="combo" dx="16" fmlaLink="$E$8" fmlaRange="$B$71:$B$72" noThreeD="1" sel="1" val="0"/>
</file>

<file path=xl/ctrlProps/ctrlProp2.xml><?xml version="1.0" encoding="utf-8"?>
<formControlPr xmlns="http://schemas.microsoft.com/office/spreadsheetml/2009/9/main" objectType="Drop" dropLines="3" dropStyle="combo" dx="16" fmlaLink="$E$9" fmlaRange="$B$73:$B$75" noThreeD="1" sel="2" val="0"/>
</file>

<file path=xl/ctrlProps/ctrlProp3.xml><?xml version="1.0" encoding="utf-8"?>
<formControlPr xmlns="http://schemas.microsoft.com/office/spreadsheetml/2009/9/main" objectType="Drop" dropLines="74" dropStyle="combo" dx="16" fmlaLink="$E$60" fmlaRange="$B$76:$B$77" noThreeD="1" sel="1" val="0"/>
</file>

<file path=xl/ctrlProps/ctrlProp4.xml><?xml version="1.0" encoding="utf-8"?>
<formControlPr xmlns="http://schemas.microsoft.com/office/spreadsheetml/2009/9/main" objectType="CheckBox" fmlaLink="$E$47" lockText="1" noThreeD="1"/>
</file>

<file path=xl/ctrlProps/ctrlProp5.xml><?xml version="1.0" encoding="utf-8"?>
<formControlPr xmlns="http://schemas.microsoft.com/office/spreadsheetml/2009/9/main" objectType="CheckBox" fmlaLink="$E$47" lockText="1" noThreeD="1"/>
</file>

<file path=xl/ctrlProps/ctrlProp6.xml><?xml version="1.0" encoding="utf-8"?>
<formControlPr xmlns="http://schemas.microsoft.com/office/spreadsheetml/2009/9/main" objectType="CheckBox" fmlaLink="$E$47" lockText="1" noThreeD="1"/>
</file>

<file path=xl/ctrlProps/ctrlProp7.xml><?xml version="1.0" encoding="utf-8"?>
<formControlPr xmlns="http://schemas.microsoft.com/office/spreadsheetml/2009/9/main" objectType="CheckBox" fmlaLink="$E$4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5343525</xdr:colOff>
      <xdr:row>0</xdr:row>
      <xdr:rowOff>57150</xdr:rowOff>
    </xdr:from>
    <xdr:to>
      <xdr:col>1</xdr:col>
      <xdr:colOff>9525</xdr:colOff>
      <xdr:row>2</xdr:row>
      <xdr:rowOff>661</xdr:rowOff>
    </xdr:to>
    <xdr:pic>
      <xdr:nvPicPr>
        <xdr:cNvPr id="6" name="Grafik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3525" y="57150"/>
          <a:ext cx="2676525" cy="1191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6</xdr:row>
          <xdr:rowOff>219075</xdr:rowOff>
        </xdr:from>
        <xdr:to>
          <xdr:col>2</xdr:col>
          <xdr:colOff>1066800</xdr:colOff>
          <xdr:row>8</xdr:row>
          <xdr:rowOff>9525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xdr:row>
          <xdr:rowOff>219075</xdr:rowOff>
        </xdr:from>
        <xdr:to>
          <xdr:col>2</xdr:col>
          <xdr:colOff>1066800</xdr:colOff>
          <xdr:row>9</xdr:row>
          <xdr:rowOff>9525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2066925</xdr:colOff>
          <xdr:row>59</xdr:row>
          <xdr:rowOff>0</xdr:rowOff>
        </xdr:from>
        <xdr:to>
          <xdr:col>1</xdr:col>
          <xdr:colOff>2809875</xdr:colOff>
          <xdr:row>60</xdr:row>
          <xdr:rowOff>28575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46</xdr:row>
          <xdr:rowOff>0</xdr:rowOff>
        </xdr:from>
        <xdr:to>
          <xdr:col>3</xdr:col>
          <xdr:colOff>2538413</xdr:colOff>
          <xdr:row>47</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de-CH" sz="1000" b="0" i="0" u="none" strike="noStrike" baseline="0">
                  <a:solidFill>
                    <a:srgbClr val="000000"/>
                  </a:solidFill>
                  <a:latin typeface="Geneva"/>
                </a:rPr>
                <a:t>  KEV Beitrag? (bitte ankreuzen, falls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46</xdr:row>
          <xdr:rowOff>0</xdr:rowOff>
        </xdr:from>
        <xdr:to>
          <xdr:col>3</xdr:col>
          <xdr:colOff>2538413</xdr:colOff>
          <xdr:row>47</xdr:row>
          <xdr:rowOff>9525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de-CH" sz="1000" b="0" i="0" u="none" strike="noStrike" baseline="0">
                  <a:solidFill>
                    <a:srgbClr val="000000"/>
                  </a:solidFill>
                  <a:latin typeface="Geneva"/>
                </a:rPr>
                <a:t>  KEV Beitrag? (bitte ankreuzen, falls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46</xdr:row>
          <xdr:rowOff>0</xdr:rowOff>
        </xdr:from>
        <xdr:to>
          <xdr:col>3</xdr:col>
          <xdr:colOff>2538413</xdr:colOff>
          <xdr:row>47</xdr:row>
          <xdr:rowOff>9525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de-CH" sz="1000" b="0" i="0" u="none" strike="noStrike" baseline="0">
                  <a:solidFill>
                    <a:srgbClr val="000000"/>
                  </a:solidFill>
                  <a:latin typeface="Geneva"/>
                </a:rPr>
                <a:t>  KEV Beitrag? (bitte ankreuzen, falls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46</xdr:row>
          <xdr:rowOff>0</xdr:rowOff>
        </xdr:from>
        <xdr:to>
          <xdr:col>3</xdr:col>
          <xdr:colOff>2538413</xdr:colOff>
          <xdr:row>47</xdr:row>
          <xdr:rowOff>9525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de-CH" sz="1000" b="0" i="0" u="none" strike="noStrike" baseline="0">
                  <a:solidFill>
                    <a:srgbClr val="000000"/>
                  </a:solidFill>
                  <a:latin typeface="Geneva"/>
                </a:rPr>
                <a:t>  KEV Beitrag? (bitte ankreuzen, falls ja)</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751416</xdr:colOff>
      <xdr:row>39</xdr:row>
      <xdr:rowOff>60262</xdr:rowOff>
    </xdr:to>
    <xdr:graphicFrame macro="">
      <xdr:nvGraphicFramePr>
        <xdr:cNvPr id="3" name="Diagramm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25400</xdr:colOff>
      <xdr:row>0</xdr:row>
      <xdr:rowOff>84668</xdr:rowOff>
    </xdr:from>
    <xdr:to>
      <xdr:col>4</xdr:col>
      <xdr:colOff>99482</xdr:colOff>
      <xdr:row>41</xdr:row>
      <xdr:rowOff>118534</xdr:rowOff>
    </xdr:to>
    <xdr:graphicFrame macro="">
      <xdr:nvGraphicFramePr>
        <xdr:cNvPr id="2" name="Diagramm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reeze_V3">
  <a:themeElements>
    <a:clrScheme name="treeze Farbwelt">
      <a:dk1>
        <a:srgbClr val="213138"/>
      </a:dk1>
      <a:lt1>
        <a:srgbClr val="B4C3C2"/>
      </a:lt1>
      <a:dk2>
        <a:srgbClr val="5CAC34"/>
      </a:dk2>
      <a:lt2>
        <a:srgbClr val="73C2CC"/>
      </a:lt2>
      <a:accent1>
        <a:srgbClr val="229DCE"/>
      </a:accent1>
      <a:accent2>
        <a:srgbClr val="A0003A"/>
      </a:accent2>
      <a:accent3>
        <a:srgbClr val="E47823"/>
      </a:accent3>
      <a:accent4>
        <a:srgbClr val="C7D737"/>
      </a:accent4>
      <a:accent5>
        <a:srgbClr val="905C49"/>
      </a:accent5>
      <a:accent6>
        <a:srgbClr val="A29B7E"/>
      </a:accent6>
      <a:hlink>
        <a:srgbClr val="5CAC34"/>
      </a:hlink>
      <a:folHlink>
        <a:srgbClr val="C7D737"/>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treeze.ch/" TargetMode="External"/><Relationship Id="rId1" Type="http://schemas.openxmlformats.org/officeDocument/2006/relationships/hyperlink" Target="mailto:info@treeze.ch"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5"/>
  <sheetViews>
    <sheetView showGridLines="0" tabSelected="1" zoomScale="70" zoomScaleNormal="70" workbookViewId="0">
      <pane ySplit="2" topLeftCell="A3" activePane="bottomLeft" state="frozen"/>
      <selection pane="bottomLeft"/>
    </sheetView>
  </sheetViews>
  <sheetFormatPr baseColWidth="10" defaultColWidth="10.86328125" defaultRowHeight="12.75"/>
  <cols>
    <col min="1" max="1" width="120.1328125" style="1" customWidth="1"/>
    <col min="2" max="2" width="12" style="1" customWidth="1"/>
    <col min="3" max="16384" width="10.86328125" style="1"/>
  </cols>
  <sheetData>
    <row r="1" spans="1:1" ht="61.5" customHeight="1"/>
    <row r="2" spans="1:1" ht="36.75" customHeight="1">
      <c r="A2" s="24" t="str">
        <f>Eingabe!B2</f>
        <v>Naturemade "Recycling Star" Prüfung</v>
      </c>
    </row>
    <row r="3" spans="1:1" s="3" customFormat="1" ht="37.5" customHeight="1">
      <c r="A3" s="2" t="s">
        <v>430</v>
      </c>
    </row>
    <row r="4" spans="1:1" s="3" customFormat="1" ht="13.15">
      <c r="A4" s="2"/>
    </row>
    <row r="5" spans="1:1" ht="13.15">
      <c r="A5" s="7" t="s">
        <v>3</v>
      </c>
    </row>
    <row r="6" spans="1:1" ht="25.5">
      <c r="A6" s="5" t="s">
        <v>326</v>
      </c>
    </row>
    <row r="7" spans="1:1" ht="25.5">
      <c r="A7" s="5" t="s">
        <v>201</v>
      </c>
    </row>
    <row r="8" spans="1:1">
      <c r="A8" s="5" t="s">
        <v>202</v>
      </c>
    </row>
    <row r="9" spans="1:1">
      <c r="A9" s="5"/>
    </row>
    <row r="10" spans="1:1" ht="13.15">
      <c r="A10" s="9" t="s">
        <v>18</v>
      </c>
    </row>
    <row r="11" spans="1:1" ht="25.5">
      <c r="A11" s="8" t="s">
        <v>328</v>
      </c>
    </row>
    <row r="12" spans="1:1" ht="64.5" customHeight="1">
      <c r="A12" s="151" t="s">
        <v>357</v>
      </c>
    </row>
    <row r="13" spans="1:1" ht="9.75" customHeight="1">
      <c r="A13" s="151"/>
    </row>
    <row r="14" spans="1:1" ht="13.15">
      <c r="A14" s="152" t="s">
        <v>327</v>
      </c>
    </row>
    <row r="15" spans="1:1" ht="63.75">
      <c r="A15" s="8" t="s">
        <v>329</v>
      </c>
    </row>
    <row r="16" spans="1:1" ht="13.9">
      <c r="A16" s="10"/>
    </row>
    <row r="17" spans="1:2" ht="13.15">
      <c r="A17" s="9" t="s">
        <v>24</v>
      </c>
    </row>
    <row r="18" spans="1:2" ht="25.5">
      <c r="A18" s="5" t="s">
        <v>330</v>
      </c>
    </row>
    <row r="19" spans="1:2">
      <c r="A19" s="6"/>
    </row>
    <row r="20" spans="1:2">
      <c r="A20" s="16" t="s">
        <v>394</v>
      </c>
    </row>
    <row r="21" spans="1:2">
      <c r="A21" s="16" t="s">
        <v>393</v>
      </c>
    </row>
    <row r="22" spans="1:2">
      <c r="A22" s="16" t="s">
        <v>26</v>
      </c>
    </row>
    <row r="23" spans="1:2">
      <c r="A23" s="16" t="s">
        <v>27</v>
      </c>
    </row>
    <row r="24" spans="1:2">
      <c r="A24" s="11" t="s">
        <v>395</v>
      </c>
    </row>
    <row r="25" spans="1:2">
      <c r="A25" s="16" t="s">
        <v>208</v>
      </c>
    </row>
    <row r="26" spans="1:2">
      <c r="A26" s="16"/>
    </row>
    <row r="27" spans="1:2">
      <c r="A27" s="11"/>
    </row>
    <row r="29" spans="1:2" ht="13.15">
      <c r="A29" s="9" t="s">
        <v>207</v>
      </c>
    </row>
    <row r="30" spans="1:2">
      <c r="A30" s="20" t="s">
        <v>397</v>
      </c>
      <c r="B30" s="21"/>
    </row>
    <row r="31" spans="1:2">
      <c r="A31" s="20" t="s">
        <v>203</v>
      </c>
      <c r="B31" s="21"/>
    </row>
    <row r="32" spans="1:2">
      <c r="A32" s="218" t="s">
        <v>204</v>
      </c>
      <c r="B32" s="219"/>
    </row>
    <row r="33" spans="1:2">
      <c r="A33" s="220" t="s">
        <v>396</v>
      </c>
      <c r="B33" s="220"/>
    </row>
    <row r="34" spans="1:2">
      <c r="A34" s="22" t="s">
        <v>205</v>
      </c>
      <c r="B34" s="21"/>
    </row>
    <row r="35" spans="1:2">
      <c r="A35" s="23" t="s">
        <v>206</v>
      </c>
    </row>
  </sheetData>
  <sheetProtection password="862F" sheet="1" objects="1" scenarios="1"/>
  <mergeCells count="2">
    <mergeCell ref="A32:B32"/>
    <mergeCell ref="A33:B33"/>
  </mergeCells>
  <phoneticPr fontId="0" type="noConversion"/>
  <hyperlinks>
    <hyperlink ref="A33" r:id="rId1" xr:uid="{00000000-0004-0000-0000-000000000000}"/>
    <hyperlink ref="A35" r:id="rId2" xr:uid="{00000000-0004-0000-0000-000001000000}"/>
  </hyperlinks>
  <pageMargins left="0.78740157499999996" right="0.78740157499999996" top="0.984251969" bottom="0.984251969" header="0.4921259845" footer="0.4921259845"/>
  <pageSetup paperSize="9" scale="65" orientation="portrait"/>
  <headerFooter alignWithMargins="0"/>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J83"/>
  <sheetViews>
    <sheetView showGridLines="0" zoomScale="70" zoomScaleNormal="70" zoomScalePageLayoutView="80" workbookViewId="0">
      <pane ySplit="2" topLeftCell="A3" activePane="bottomLeft" state="frozen"/>
      <selection pane="bottomLeft" activeCell="B2" sqref="B2:D2"/>
    </sheetView>
  </sheetViews>
  <sheetFormatPr baseColWidth="10" defaultColWidth="10.86328125" defaultRowHeight="13.5" outlineLevelRow="1" outlineLevelCol="1"/>
  <cols>
    <col min="1" max="1" width="5" style="179" hidden="1" customWidth="1" outlineLevel="1"/>
    <col min="2" max="2" width="58" style="179" customWidth="1" collapsed="1"/>
    <col min="3" max="3" width="21" style="206" customWidth="1"/>
    <col min="4" max="4" width="41" style="206" customWidth="1"/>
    <col min="5" max="5" width="11.86328125" style="179" hidden="1" customWidth="1" outlineLevel="1"/>
    <col min="6" max="6" width="14.86328125" style="179" customWidth="1" collapsed="1"/>
    <col min="7" max="7" width="18.86328125" style="179" customWidth="1" collapsed="1"/>
    <col min="8" max="8" width="14.46484375" style="179" customWidth="1"/>
    <col min="9" max="10" width="11.46484375" style="179" bestFit="1" customWidth="1"/>
    <col min="11" max="16384" width="10.86328125" style="179"/>
  </cols>
  <sheetData>
    <row r="1" spans="1:7" hidden="1" outlineLevel="1">
      <c r="A1" s="177"/>
      <c r="B1" s="177"/>
      <c r="C1" s="178">
        <v>41</v>
      </c>
      <c r="D1" s="178">
        <v>42</v>
      </c>
      <c r="E1" s="177"/>
      <c r="F1" s="177"/>
      <c r="G1" s="177"/>
    </row>
    <row r="2" spans="1:7" ht="21" customHeight="1" collapsed="1">
      <c r="A2" s="177"/>
      <c r="B2" s="221" t="s">
        <v>270</v>
      </c>
      <c r="C2" s="221"/>
      <c r="D2" s="221"/>
      <c r="E2" s="177"/>
      <c r="F2" s="177"/>
      <c r="G2" s="177"/>
    </row>
    <row r="3" spans="1:7" ht="21" customHeight="1">
      <c r="A3" s="177"/>
      <c r="B3" s="176"/>
      <c r="C3" s="180"/>
      <c r="D3" s="180"/>
      <c r="E3" s="177"/>
      <c r="F3" s="177"/>
      <c r="G3" s="177"/>
    </row>
    <row r="4" spans="1:7" ht="21" customHeight="1">
      <c r="A4" s="177"/>
      <c r="B4" s="26" t="s">
        <v>277</v>
      </c>
      <c r="C4" s="182"/>
      <c r="D4" s="180"/>
      <c r="E4" s="177"/>
      <c r="F4" s="177"/>
      <c r="G4" s="177"/>
    </row>
    <row r="5" spans="1:7" ht="18.75" customHeight="1">
      <c r="A5" s="177"/>
      <c r="B5" s="26" t="s">
        <v>276</v>
      </c>
      <c r="C5" s="183"/>
      <c r="D5" s="184"/>
      <c r="E5" s="177"/>
      <c r="F5" s="177"/>
      <c r="G5" s="177"/>
    </row>
    <row r="6" spans="1:7" ht="21" customHeight="1">
      <c r="A6" s="177"/>
      <c r="B6" s="25"/>
      <c r="C6" s="185"/>
      <c r="D6" s="184"/>
      <c r="E6" s="177"/>
      <c r="F6" s="177"/>
      <c r="G6" s="177"/>
    </row>
    <row r="7" spans="1:7" ht="18.75" customHeight="1">
      <c r="A7" s="177"/>
      <c r="B7" s="26" t="s">
        <v>154</v>
      </c>
      <c r="C7" s="184"/>
      <c r="D7" s="184"/>
      <c r="E7" s="177"/>
      <c r="F7" s="177"/>
      <c r="G7" s="177"/>
    </row>
    <row r="8" spans="1:7" ht="18.75" customHeight="1">
      <c r="A8" s="177"/>
      <c r="B8" s="27" t="s">
        <v>148</v>
      </c>
      <c r="C8" s="186"/>
      <c r="D8" s="184"/>
      <c r="E8" s="177">
        <v>1</v>
      </c>
      <c r="F8" s="177"/>
      <c r="G8" s="177"/>
    </row>
    <row r="9" spans="1:7" ht="18.75" customHeight="1">
      <c r="A9" s="177"/>
      <c r="B9" s="27" t="s">
        <v>151</v>
      </c>
      <c r="C9" s="186"/>
      <c r="D9" s="184"/>
      <c r="E9" s="177">
        <v>2</v>
      </c>
      <c r="F9" s="177"/>
      <c r="G9" s="177"/>
    </row>
    <row r="10" spans="1:7" ht="18.75" customHeight="1">
      <c r="A10" s="177"/>
      <c r="B10" s="27"/>
      <c r="C10" s="186"/>
      <c r="D10" s="184"/>
      <c r="E10" s="177"/>
      <c r="F10" s="177"/>
      <c r="G10" s="177"/>
    </row>
    <row r="11" spans="1:7" ht="21.75" customHeight="1">
      <c r="A11" s="177"/>
      <c r="B11" s="26" t="s">
        <v>155</v>
      </c>
      <c r="C11" s="36" t="s">
        <v>146</v>
      </c>
      <c r="D11" s="184"/>
      <c r="E11" s="177"/>
      <c r="F11" s="177"/>
      <c r="G11" s="177"/>
    </row>
    <row r="12" spans="1:7" ht="18.75" customHeight="1">
      <c r="A12" s="177">
        <v>12</v>
      </c>
      <c r="B12" s="27" t="s">
        <v>360</v>
      </c>
      <c r="C12" s="182">
        <v>0</v>
      </c>
      <c r="D12" s="187"/>
      <c r="E12" s="177"/>
      <c r="F12" s="177"/>
      <c r="G12" s="177"/>
    </row>
    <row r="13" spans="1:7" ht="18.75" customHeight="1">
      <c r="A13" s="177"/>
      <c r="B13" s="27"/>
      <c r="C13" s="185"/>
      <c r="D13" s="187"/>
      <c r="E13" s="177"/>
      <c r="F13" s="177"/>
      <c r="G13" s="177"/>
    </row>
    <row r="14" spans="1:7" ht="18.75" customHeight="1">
      <c r="A14" s="177"/>
      <c r="B14" s="26" t="s">
        <v>398</v>
      </c>
      <c r="C14" s="35" t="s">
        <v>427</v>
      </c>
      <c r="D14" s="187"/>
      <c r="E14" s="177"/>
      <c r="F14" s="177"/>
      <c r="G14" s="177"/>
    </row>
    <row r="15" spans="1:7" ht="18.75" customHeight="1">
      <c r="A15" s="177">
        <v>54</v>
      </c>
      <c r="B15" s="27" t="s">
        <v>431</v>
      </c>
      <c r="C15" s="188">
        <v>0</v>
      </c>
      <c r="D15" s="211" t="str">
        <f>IF(C15=0,"Pflichtfeld: Bitte geben Sie den Heizwert ein","")</f>
        <v>Pflichtfeld: Bitte geben Sie den Heizwert ein</v>
      </c>
      <c r="E15" s="177"/>
      <c r="F15" s="177"/>
      <c r="G15" s="177"/>
    </row>
    <row r="16" spans="1:7" ht="18.75" customHeight="1">
      <c r="A16" s="177"/>
      <c r="B16" s="27"/>
      <c r="C16" s="185"/>
      <c r="D16" s="187"/>
      <c r="E16" s="177"/>
      <c r="F16" s="177"/>
      <c r="G16" s="177"/>
    </row>
    <row r="17" spans="1:10" ht="30" customHeight="1">
      <c r="A17" s="177"/>
      <c r="B17" s="26" t="s">
        <v>341</v>
      </c>
      <c r="C17" s="36" t="s">
        <v>146</v>
      </c>
      <c r="D17" s="36" t="s">
        <v>348</v>
      </c>
      <c r="E17" s="177"/>
      <c r="F17" s="177"/>
      <c r="G17" s="177"/>
    </row>
    <row r="18" spans="1:10" ht="18.75" customHeight="1">
      <c r="A18" s="177">
        <v>52</v>
      </c>
      <c r="B18" s="27" t="s">
        <v>342</v>
      </c>
      <c r="C18" s="182">
        <v>0</v>
      </c>
      <c r="D18" s="189">
        <v>0</v>
      </c>
      <c r="E18" s="177"/>
      <c r="F18" s="177"/>
      <c r="G18" s="177"/>
    </row>
    <row r="19" spans="1:10" ht="18.75" customHeight="1">
      <c r="A19" s="177">
        <v>53</v>
      </c>
      <c r="B19" s="27" t="s">
        <v>343</v>
      </c>
      <c r="C19" s="182">
        <v>0</v>
      </c>
      <c r="D19" s="189">
        <v>0</v>
      </c>
      <c r="E19" s="177"/>
      <c r="F19" s="177"/>
      <c r="G19" s="177"/>
    </row>
    <row r="20" spans="1:10" ht="21.75" customHeight="1">
      <c r="A20" s="177"/>
      <c r="B20" s="26"/>
      <c r="C20" s="181"/>
      <c r="D20" s="181"/>
      <c r="E20" s="177"/>
      <c r="F20" s="177"/>
      <c r="G20" s="177"/>
    </row>
    <row r="21" spans="1:10" ht="21.75" customHeight="1">
      <c r="A21" s="177"/>
      <c r="B21" s="26" t="s">
        <v>196</v>
      </c>
      <c r="C21" s="36" t="s">
        <v>215</v>
      </c>
      <c r="D21" s="36" t="s">
        <v>156</v>
      </c>
      <c r="E21" s="177"/>
      <c r="F21" s="177"/>
      <c r="G21" s="177"/>
    </row>
    <row r="22" spans="1:10" ht="18.75" customHeight="1">
      <c r="A22" s="177">
        <v>13</v>
      </c>
      <c r="B22" s="207" t="s">
        <v>157</v>
      </c>
      <c r="C22" s="191">
        <v>0</v>
      </c>
      <c r="D22" s="192">
        <v>0</v>
      </c>
      <c r="E22" s="177"/>
      <c r="F22" s="177"/>
      <c r="G22" s="177"/>
    </row>
    <row r="23" spans="1:10" ht="18.75" customHeight="1">
      <c r="A23" s="177">
        <v>14</v>
      </c>
      <c r="B23" s="207" t="s">
        <v>169</v>
      </c>
      <c r="C23" s="191">
        <v>0</v>
      </c>
      <c r="D23" s="184"/>
      <c r="E23" s="177"/>
      <c r="F23" s="177"/>
      <c r="G23" s="177"/>
      <c r="I23" s="193"/>
      <c r="J23" s="193"/>
    </row>
    <row r="24" spans="1:10" ht="18.75" customHeight="1">
      <c r="A24" s="177">
        <v>15</v>
      </c>
      <c r="B24" s="207" t="s">
        <v>161</v>
      </c>
      <c r="C24" s="191">
        <v>0</v>
      </c>
      <c r="D24" s="192">
        <v>0</v>
      </c>
      <c r="E24" s="177"/>
      <c r="F24" s="177"/>
      <c r="G24" s="177"/>
      <c r="I24" s="193"/>
      <c r="J24" s="193"/>
    </row>
    <row r="25" spans="1:10" ht="18.75" customHeight="1">
      <c r="A25" s="177">
        <v>16</v>
      </c>
      <c r="B25" s="207" t="s">
        <v>158</v>
      </c>
      <c r="C25" s="191">
        <v>0</v>
      </c>
      <c r="D25" s="192">
        <v>0</v>
      </c>
      <c r="E25" s="177"/>
      <c r="F25" s="177"/>
      <c r="G25" s="177"/>
      <c r="I25" s="193"/>
      <c r="J25" s="193"/>
    </row>
    <row r="26" spans="1:10" ht="18.75" customHeight="1">
      <c r="A26" s="177">
        <v>18</v>
      </c>
      <c r="B26" s="207" t="s">
        <v>159</v>
      </c>
      <c r="C26" s="191">
        <v>0</v>
      </c>
      <c r="D26" s="192">
        <v>0</v>
      </c>
      <c r="E26" s="177"/>
      <c r="F26" s="177"/>
      <c r="G26" s="177"/>
      <c r="I26" s="193"/>
      <c r="J26" s="193"/>
    </row>
    <row r="27" spans="1:10" ht="18.75" customHeight="1">
      <c r="A27" s="177">
        <v>17</v>
      </c>
      <c r="B27" s="207" t="s">
        <v>294</v>
      </c>
      <c r="C27" s="194">
        <v>0</v>
      </c>
      <c r="D27" s="184"/>
      <c r="E27" s="177"/>
      <c r="F27" s="177"/>
      <c r="G27" s="177"/>
    </row>
    <row r="28" spans="1:10" ht="18.75" customHeight="1">
      <c r="A28" s="177">
        <v>47</v>
      </c>
      <c r="B28" s="207" t="s">
        <v>293</v>
      </c>
      <c r="C28" s="194">
        <v>0</v>
      </c>
      <c r="D28" s="184"/>
      <c r="E28" s="177"/>
      <c r="F28" s="177"/>
      <c r="G28" s="177"/>
    </row>
    <row r="29" spans="1:10" ht="18.75" customHeight="1">
      <c r="A29" s="177">
        <v>48</v>
      </c>
      <c r="B29" s="207" t="s">
        <v>295</v>
      </c>
      <c r="C29" s="194">
        <v>0</v>
      </c>
      <c r="D29" s="184"/>
      <c r="E29" s="177"/>
      <c r="F29" s="177"/>
      <c r="G29" s="177"/>
    </row>
    <row r="30" spans="1:10" ht="18.75" customHeight="1">
      <c r="A30" s="177">
        <v>19</v>
      </c>
      <c r="B30" s="207" t="s">
        <v>160</v>
      </c>
      <c r="C30" s="191">
        <v>0</v>
      </c>
      <c r="D30" s="184"/>
      <c r="E30" s="177"/>
      <c r="F30" s="177"/>
      <c r="G30" s="195" t="s">
        <v>320</v>
      </c>
      <c r="I30" s="193"/>
      <c r="J30" s="193"/>
    </row>
    <row r="31" spans="1:10" ht="18.75" customHeight="1">
      <c r="A31" s="177">
        <v>21</v>
      </c>
      <c r="B31" s="207" t="s">
        <v>291</v>
      </c>
      <c r="C31" s="191">
        <v>0</v>
      </c>
      <c r="D31" s="196">
        <v>0</v>
      </c>
      <c r="E31" s="177"/>
      <c r="F31" s="177"/>
      <c r="G31" s="177"/>
      <c r="I31" s="193"/>
      <c r="J31" s="193"/>
    </row>
    <row r="32" spans="1:10" ht="18.75" customHeight="1">
      <c r="A32" s="177">
        <v>43</v>
      </c>
      <c r="B32" s="207" t="s">
        <v>358</v>
      </c>
      <c r="C32" s="191">
        <v>0</v>
      </c>
      <c r="D32" s="192">
        <v>0</v>
      </c>
      <c r="E32" s="177"/>
      <c r="F32" s="177"/>
      <c r="G32" s="177"/>
      <c r="I32" s="193"/>
      <c r="J32" s="193"/>
    </row>
    <row r="33" spans="1:10" ht="18.75" customHeight="1">
      <c r="A33" s="177">
        <v>22</v>
      </c>
      <c r="B33" s="207" t="s">
        <v>359</v>
      </c>
      <c r="C33" s="197">
        <v>0</v>
      </c>
      <c r="D33" s="184"/>
      <c r="E33" s="177"/>
      <c r="F33" s="177"/>
      <c r="G33" s="177"/>
      <c r="I33" s="193"/>
      <c r="J33" s="193"/>
    </row>
    <row r="34" spans="1:10" ht="18.75" customHeight="1">
      <c r="A34" s="177">
        <v>23</v>
      </c>
      <c r="B34" s="207" t="s">
        <v>25</v>
      </c>
      <c r="C34" s="37">
        <v>0</v>
      </c>
      <c r="D34" s="184"/>
      <c r="E34" s="177"/>
      <c r="F34" s="177"/>
      <c r="G34" s="177"/>
      <c r="I34" s="198"/>
      <c r="J34" s="198"/>
    </row>
    <row r="35" spans="1:10" ht="18.75" customHeight="1">
      <c r="A35" s="177">
        <v>20</v>
      </c>
      <c r="B35" s="207" t="s">
        <v>281</v>
      </c>
      <c r="C35" s="199">
        <v>0</v>
      </c>
      <c r="D35" s="200"/>
      <c r="E35" s="177"/>
      <c r="F35" s="177"/>
      <c r="G35" s="177"/>
      <c r="I35" s="193"/>
      <c r="J35" s="193"/>
    </row>
    <row r="36" spans="1:10" ht="18.75" customHeight="1">
      <c r="A36" s="177">
        <v>45</v>
      </c>
      <c r="B36" s="207" t="s">
        <v>282</v>
      </c>
      <c r="C36" s="201">
        <v>0</v>
      </c>
      <c r="D36" s="184"/>
      <c r="E36" s="177"/>
      <c r="F36" s="177"/>
      <c r="G36" s="177"/>
      <c r="I36" s="198"/>
      <c r="J36" s="198"/>
    </row>
    <row r="37" spans="1:10" ht="18.75" customHeight="1">
      <c r="A37" s="177">
        <v>46</v>
      </c>
      <c r="B37" s="207" t="s">
        <v>283</v>
      </c>
      <c r="C37" s="197">
        <v>0</v>
      </c>
      <c r="D37" s="184"/>
      <c r="E37" s="177"/>
      <c r="F37" s="177"/>
      <c r="G37" s="177"/>
      <c r="I37" s="198"/>
      <c r="J37" s="198"/>
    </row>
    <row r="38" spans="1:10" ht="18.75" customHeight="1">
      <c r="A38" s="177"/>
      <c r="B38" s="207"/>
      <c r="C38" s="190"/>
      <c r="D38" s="184"/>
      <c r="E38" s="177"/>
      <c r="F38" s="177"/>
      <c r="G38" s="177"/>
      <c r="I38" s="198"/>
      <c r="J38" s="198"/>
    </row>
    <row r="39" spans="1:10" ht="21.75" customHeight="1">
      <c r="A39" s="177"/>
      <c r="B39" s="26" t="s">
        <v>323</v>
      </c>
      <c r="C39" s="36" t="s">
        <v>216</v>
      </c>
      <c r="D39" s="36"/>
      <c r="E39" s="177"/>
      <c r="F39" s="177"/>
      <c r="G39" s="177"/>
    </row>
    <row r="40" spans="1:10" ht="18.75" customHeight="1">
      <c r="A40" s="177">
        <v>26</v>
      </c>
      <c r="B40" s="208" t="s">
        <v>361</v>
      </c>
      <c r="C40" s="166">
        <v>0</v>
      </c>
      <c r="D40" s="38" t="s">
        <v>325</v>
      </c>
      <c r="E40" s="177"/>
      <c r="F40" s="177"/>
      <c r="G40" s="177"/>
    </row>
    <row r="41" spans="1:10" ht="18.75" customHeight="1">
      <c r="A41" s="177">
        <v>27</v>
      </c>
      <c r="B41" s="208" t="s">
        <v>211</v>
      </c>
      <c r="C41" s="166">
        <v>0</v>
      </c>
      <c r="D41" s="38"/>
      <c r="E41" s="177"/>
      <c r="F41" s="177"/>
      <c r="G41" s="177"/>
      <c r="I41" s="193"/>
      <c r="J41" s="193"/>
    </row>
    <row r="42" spans="1:10" ht="18.75" customHeight="1">
      <c r="A42" s="177">
        <v>28</v>
      </c>
      <c r="B42" s="208" t="s">
        <v>265</v>
      </c>
      <c r="C42" s="166">
        <v>0</v>
      </c>
      <c r="D42" s="38"/>
      <c r="E42" s="177"/>
      <c r="F42" s="177"/>
      <c r="G42" s="177"/>
      <c r="I42" s="193"/>
      <c r="J42" s="193"/>
    </row>
    <row r="43" spans="1:10" ht="18.75" customHeight="1">
      <c r="A43" s="177">
        <v>29</v>
      </c>
      <c r="B43" s="208" t="s">
        <v>212</v>
      </c>
      <c r="C43" s="166">
        <v>0</v>
      </c>
      <c r="D43" s="38"/>
      <c r="E43" s="177"/>
      <c r="F43" s="177"/>
      <c r="G43" s="177"/>
      <c r="I43" s="193"/>
      <c r="J43" s="193"/>
    </row>
    <row r="44" spans="1:10" ht="18.75" customHeight="1">
      <c r="A44" s="177">
        <v>51</v>
      </c>
      <c r="B44" s="208" t="s">
        <v>213</v>
      </c>
      <c r="C44" s="168">
        <v>0</v>
      </c>
      <c r="D44" s="38" t="s">
        <v>392</v>
      </c>
      <c r="E44" s="177"/>
      <c r="F44" s="177"/>
      <c r="G44" s="177"/>
      <c r="I44" s="193"/>
      <c r="J44" s="193"/>
    </row>
    <row r="45" spans="1:10" ht="18.75" customHeight="1">
      <c r="A45" s="177"/>
      <c r="B45" s="208"/>
      <c r="C45" s="28"/>
      <c r="D45" s="28"/>
      <c r="E45" s="177"/>
      <c r="F45" s="177"/>
      <c r="G45" s="177"/>
      <c r="I45" s="193"/>
      <c r="J45" s="193"/>
    </row>
    <row r="46" spans="1:10" ht="18.75" customHeight="1">
      <c r="A46" s="177"/>
      <c r="B46" s="26" t="s">
        <v>139</v>
      </c>
      <c r="C46" s="162" t="s">
        <v>147</v>
      </c>
      <c r="D46" s="184"/>
      <c r="E46" s="177"/>
      <c r="F46" s="177"/>
      <c r="G46" s="177"/>
    </row>
    <row r="47" spans="1:10" ht="18.75" customHeight="1">
      <c r="A47" s="177">
        <v>30</v>
      </c>
      <c r="B47" s="208" t="s">
        <v>324</v>
      </c>
      <c r="C47" s="37">
        <v>0</v>
      </c>
      <c r="D47" s="202"/>
      <c r="E47" s="203" t="b">
        <v>0</v>
      </c>
      <c r="F47" s="177"/>
      <c r="G47" s="177"/>
    </row>
    <row r="48" spans="1:10" ht="18.75" customHeight="1">
      <c r="A48" s="177">
        <v>31</v>
      </c>
      <c r="B48" s="208" t="s">
        <v>290</v>
      </c>
      <c r="C48" s="37">
        <v>0</v>
      </c>
      <c r="D48" s="184"/>
      <c r="E48" s="177"/>
      <c r="F48" s="177"/>
      <c r="G48" s="177"/>
    </row>
    <row r="49" spans="1:7" ht="18.75" customHeight="1">
      <c r="A49" s="177"/>
      <c r="B49" s="208"/>
      <c r="C49" s="28"/>
      <c r="D49" s="184"/>
      <c r="E49" s="177"/>
      <c r="F49" s="177"/>
      <c r="G49" s="177"/>
    </row>
    <row r="50" spans="1:7" ht="18.75" customHeight="1">
      <c r="A50" s="177"/>
      <c r="B50" s="26" t="s">
        <v>140</v>
      </c>
      <c r="C50" s="163" t="s">
        <v>146</v>
      </c>
      <c r="D50" s="184"/>
      <c r="E50" s="177"/>
      <c r="F50" s="177"/>
      <c r="G50" s="177"/>
    </row>
    <row r="51" spans="1:7" ht="18.75" customHeight="1">
      <c r="A51" s="177">
        <v>32</v>
      </c>
      <c r="B51" s="29" t="s">
        <v>141</v>
      </c>
      <c r="C51" s="212">
        <v>0</v>
      </c>
      <c r="D51" s="184"/>
      <c r="E51" s="177"/>
      <c r="F51" s="177"/>
      <c r="G51" s="177"/>
    </row>
    <row r="52" spans="1:7" ht="18.75" customHeight="1">
      <c r="A52" s="177">
        <v>33</v>
      </c>
      <c r="B52" s="29" t="s">
        <v>142</v>
      </c>
      <c r="C52" s="212">
        <v>0</v>
      </c>
      <c r="D52" s="184"/>
      <c r="E52" s="177"/>
      <c r="F52" s="177"/>
      <c r="G52" s="177"/>
    </row>
    <row r="53" spans="1:7" ht="18.75" customHeight="1">
      <c r="A53" s="177">
        <v>34</v>
      </c>
      <c r="B53" s="29" t="s">
        <v>143</v>
      </c>
      <c r="C53" s="212">
        <v>0</v>
      </c>
      <c r="D53" s="184"/>
      <c r="E53" s="177"/>
      <c r="F53" s="177"/>
      <c r="G53" s="177"/>
    </row>
    <row r="54" spans="1:7" ht="18.75" customHeight="1">
      <c r="A54" s="177">
        <v>35</v>
      </c>
      <c r="B54" s="29" t="s">
        <v>144</v>
      </c>
      <c r="C54" s="212">
        <v>0</v>
      </c>
      <c r="D54" s="184"/>
      <c r="E54" s="177"/>
      <c r="F54" s="177"/>
      <c r="G54" s="177"/>
    </row>
    <row r="55" spans="1:7" ht="18.75" customHeight="1">
      <c r="A55" s="177">
        <v>36</v>
      </c>
      <c r="B55" s="29" t="s">
        <v>145</v>
      </c>
      <c r="C55" s="213">
        <v>0</v>
      </c>
      <c r="D55" s="30"/>
      <c r="E55" s="177"/>
      <c r="F55" s="177"/>
      <c r="G55" s="177"/>
    </row>
    <row r="56" spans="1:7" ht="18.75" customHeight="1">
      <c r="A56" s="177">
        <v>49</v>
      </c>
      <c r="B56" s="29" t="s">
        <v>322</v>
      </c>
      <c r="C56" s="212">
        <v>0</v>
      </c>
      <c r="D56" s="38" t="s">
        <v>296</v>
      </c>
      <c r="E56" s="200"/>
      <c r="F56" s="177"/>
      <c r="G56" s="177"/>
    </row>
    <row r="57" spans="1:7" ht="18.75" customHeight="1">
      <c r="A57" s="177">
        <v>50</v>
      </c>
      <c r="B57" s="29" t="s">
        <v>321</v>
      </c>
      <c r="C57" s="212">
        <v>0</v>
      </c>
      <c r="D57" s="38" t="s">
        <v>296</v>
      </c>
      <c r="E57" s="200"/>
      <c r="F57" s="177"/>
      <c r="G57" s="177"/>
    </row>
    <row r="58" spans="1:7" ht="18.75" customHeight="1">
      <c r="A58" s="177"/>
      <c r="B58" s="30"/>
      <c r="C58" s="184"/>
      <c r="D58" s="30"/>
      <c r="E58" s="177"/>
      <c r="F58" s="177"/>
      <c r="G58" s="177"/>
    </row>
    <row r="59" spans="1:7" ht="18.75" customHeight="1">
      <c r="A59" s="177"/>
      <c r="B59" s="26" t="s">
        <v>163</v>
      </c>
      <c r="C59" s="163" t="s">
        <v>165</v>
      </c>
      <c r="D59" s="184"/>
      <c r="E59" s="177"/>
      <c r="F59" s="177"/>
      <c r="G59" s="177"/>
    </row>
    <row r="60" spans="1:7" ht="18.75" customHeight="1">
      <c r="A60" s="177">
        <v>37</v>
      </c>
      <c r="B60" s="29" t="s">
        <v>164</v>
      </c>
      <c r="C60" s="192">
        <v>0</v>
      </c>
      <c r="D60" s="184"/>
      <c r="E60" s="177">
        <v>1</v>
      </c>
      <c r="F60" s="177"/>
      <c r="G60" s="177"/>
    </row>
    <row r="61" spans="1:7" ht="18.75" customHeight="1">
      <c r="A61" s="177">
        <v>38</v>
      </c>
      <c r="B61" s="29" t="s">
        <v>194</v>
      </c>
      <c r="C61" s="192">
        <v>0</v>
      </c>
      <c r="D61" s="184"/>
      <c r="E61" s="177"/>
      <c r="F61" s="177"/>
      <c r="G61" s="177"/>
    </row>
    <row r="62" spans="1:7" ht="31.5" customHeight="1">
      <c r="A62" s="177">
        <v>39</v>
      </c>
      <c r="B62" s="31" t="s">
        <v>166</v>
      </c>
      <c r="C62" s="192">
        <v>0</v>
      </c>
      <c r="D62" s="184"/>
      <c r="E62" s="177"/>
      <c r="F62" s="177"/>
      <c r="G62" s="177"/>
    </row>
    <row r="63" spans="1:7" ht="15.75" customHeight="1" thickBot="1">
      <c r="A63" s="177">
        <v>40</v>
      </c>
      <c r="B63" s="31" t="s">
        <v>167</v>
      </c>
      <c r="C63" s="205">
        <v>0</v>
      </c>
      <c r="D63" s="184"/>
      <c r="E63" s="177"/>
      <c r="F63" s="177"/>
      <c r="G63" s="177"/>
    </row>
    <row r="64" spans="1:7" ht="15.75" customHeight="1">
      <c r="A64" s="177"/>
      <c r="B64" s="32" t="s">
        <v>7</v>
      </c>
      <c r="C64" s="209">
        <f>SUM(C60:C63)</f>
        <v>0</v>
      </c>
      <c r="D64" s="184"/>
      <c r="E64" s="177"/>
      <c r="F64" s="177"/>
      <c r="G64" s="177"/>
    </row>
    <row r="65" spans="1:7" ht="15.75" customHeight="1">
      <c r="A65" s="177"/>
      <c r="B65" s="33"/>
      <c r="C65" s="33"/>
      <c r="D65" s="184"/>
      <c r="E65" s="177"/>
      <c r="F65" s="177"/>
      <c r="G65" s="177"/>
    </row>
    <row r="66" spans="1:7" ht="18.75" customHeight="1">
      <c r="A66" s="177"/>
      <c r="B66" s="34" t="s">
        <v>170</v>
      </c>
      <c r="C66" s="163" t="s">
        <v>146</v>
      </c>
      <c r="D66" s="204"/>
      <c r="E66" s="177"/>
      <c r="F66" s="177"/>
      <c r="G66" s="177"/>
    </row>
    <row r="67" spans="1:7" ht="18.75" customHeight="1">
      <c r="A67" s="177">
        <v>44</v>
      </c>
      <c r="B67" s="29" t="s">
        <v>168</v>
      </c>
      <c r="C67" s="191">
        <v>0</v>
      </c>
      <c r="D67" s="184"/>
      <c r="E67" s="177"/>
      <c r="F67" s="177"/>
      <c r="G67" s="177"/>
    </row>
    <row r="68" spans="1:7">
      <c r="B68" s="4"/>
    </row>
    <row r="69" spans="1:7">
      <c r="B69" s="4"/>
    </row>
    <row r="70" spans="1:7">
      <c r="B70" s="4"/>
    </row>
    <row r="71" spans="1:7" hidden="1" outlineLevel="1">
      <c r="B71" s="18" t="s">
        <v>149</v>
      </c>
    </row>
    <row r="72" spans="1:7" hidden="1" outlineLevel="1">
      <c r="B72" s="18" t="s">
        <v>150</v>
      </c>
    </row>
    <row r="73" spans="1:7" hidden="1" outlineLevel="1">
      <c r="B73" s="17" t="s">
        <v>152</v>
      </c>
    </row>
    <row r="74" spans="1:7" hidden="1" outlineLevel="1">
      <c r="B74" s="17" t="s">
        <v>153</v>
      </c>
    </row>
    <row r="75" spans="1:7" hidden="1" outlineLevel="1">
      <c r="B75" s="17" t="s">
        <v>292</v>
      </c>
    </row>
    <row r="76" spans="1:7" hidden="1" outlineLevel="1">
      <c r="B76" s="17" t="s">
        <v>192</v>
      </c>
    </row>
    <row r="77" spans="1:7" hidden="1" outlineLevel="1">
      <c r="B77" s="17" t="s">
        <v>193</v>
      </c>
    </row>
    <row r="78" spans="1:7" collapsed="1">
      <c r="B78" s="4"/>
    </row>
    <row r="79" spans="1:7">
      <c r="B79" s="4"/>
    </row>
    <row r="80" spans="1:7">
      <c r="B80" s="4"/>
    </row>
    <row r="81" spans="2:2">
      <c r="B81" s="4"/>
    </row>
    <row r="82" spans="2:2">
      <c r="B82" s="4"/>
    </row>
    <row r="83" spans="2:2">
      <c r="B83" s="4"/>
    </row>
  </sheetData>
  <sheetProtection password="862F" sheet="1" objects="1" scenarios="1"/>
  <mergeCells count="1">
    <mergeCell ref="B2:D2"/>
  </mergeCells>
  <phoneticPr fontId="0" type="noConversion"/>
  <printOptions horizontalCentered="1" verticalCentered="1"/>
  <pageMargins left="0.78740157480314965" right="0.78740157480314965" top="0.79" bottom="0.81" header="0.51181102362204722" footer="0.51181102362204722"/>
  <pageSetup paperSize="9" scale="60" orientation="landscape" r:id="rId1"/>
  <headerFooter alignWithMargins="0">
    <oddHeader>&amp;Lnaturemade Star globales Kriterium&amp;C&amp;D&amp;REnergieprodukte aus Holzenergieanlagen</oddHeader>
    <oddFooter>&amp;L(c) ESU-services GmbH 2010&amp;Cwww.esu-services.ch&amp;R&amp;F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Drop Down 5">
              <controlPr defaultSize="0" autoLine="0" autoPict="0">
                <anchor moveWithCells="1">
                  <from>
                    <xdr:col>2</xdr:col>
                    <xdr:colOff>28575</xdr:colOff>
                    <xdr:row>6</xdr:row>
                    <xdr:rowOff>219075</xdr:rowOff>
                  </from>
                  <to>
                    <xdr:col>2</xdr:col>
                    <xdr:colOff>1066800</xdr:colOff>
                    <xdr:row>8</xdr:row>
                    <xdr:rowOff>9525</xdr:rowOff>
                  </to>
                </anchor>
              </controlPr>
            </control>
          </mc:Choice>
        </mc:AlternateContent>
        <mc:AlternateContent xmlns:mc="http://schemas.openxmlformats.org/markup-compatibility/2006">
          <mc:Choice Requires="x14">
            <control shapeId="1079" r:id="rId5" name="Drop Down 55">
              <controlPr defaultSize="0" autoLine="0" autoPict="0">
                <anchor moveWithCells="1">
                  <from>
                    <xdr:col>2</xdr:col>
                    <xdr:colOff>28575</xdr:colOff>
                    <xdr:row>7</xdr:row>
                    <xdr:rowOff>219075</xdr:rowOff>
                  </from>
                  <to>
                    <xdr:col>2</xdr:col>
                    <xdr:colOff>1066800</xdr:colOff>
                    <xdr:row>9</xdr:row>
                    <xdr:rowOff>9525</xdr:rowOff>
                  </to>
                </anchor>
              </controlPr>
            </control>
          </mc:Choice>
        </mc:AlternateContent>
        <mc:AlternateContent xmlns:mc="http://schemas.openxmlformats.org/markup-compatibility/2006">
          <mc:Choice Requires="x14">
            <control shapeId="1104" r:id="rId6" name="Drop Down 80">
              <controlPr defaultSize="0" autoLine="0" autoPict="0">
                <anchor moveWithCells="1">
                  <from>
                    <xdr:col>1</xdr:col>
                    <xdr:colOff>2066925</xdr:colOff>
                    <xdr:row>59</xdr:row>
                    <xdr:rowOff>0</xdr:rowOff>
                  </from>
                  <to>
                    <xdr:col>1</xdr:col>
                    <xdr:colOff>2809875</xdr:colOff>
                    <xdr:row>60</xdr:row>
                    <xdr:rowOff>28575</xdr:rowOff>
                  </to>
                </anchor>
              </controlPr>
            </control>
          </mc:Choice>
        </mc:AlternateContent>
        <mc:AlternateContent xmlns:mc="http://schemas.openxmlformats.org/markup-compatibility/2006">
          <mc:Choice Requires="x14">
            <control shapeId="1107" r:id="rId7" name="Check Box 83">
              <controlPr defaultSize="0" autoFill="0" autoLine="0" autoPict="0">
                <anchor moveWithCells="1">
                  <from>
                    <xdr:col>3</xdr:col>
                    <xdr:colOff>9525</xdr:colOff>
                    <xdr:row>46</xdr:row>
                    <xdr:rowOff>0</xdr:rowOff>
                  </from>
                  <to>
                    <xdr:col>3</xdr:col>
                    <xdr:colOff>2538413</xdr:colOff>
                    <xdr:row>47</xdr:row>
                    <xdr:rowOff>9525</xdr:rowOff>
                  </to>
                </anchor>
              </controlPr>
            </control>
          </mc:Choice>
        </mc:AlternateContent>
        <mc:AlternateContent xmlns:mc="http://schemas.openxmlformats.org/markup-compatibility/2006">
          <mc:Choice Requires="x14">
            <control shapeId="1108" r:id="rId8" name="Check Box 84">
              <controlPr defaultSize="0" autoFill="0" autoLine="0" autoPict="0">
                <anchor moveWithCells="1">
                  <from>
                    <xdr:col>3</xdr:col>
                    <xdr:colOff>9525</xdr:colOff>
                    <xdr:row>46</xdr:row>
                    <xdr:rowOff>0</xdr:rowOff>
                  </from>
                  <to>
                    <xdr:col>3</xdr:col>
                    <xdr:colOff>2538413</xdr:colOff>
                    <xdr:row>47</xdr:row>
                    <xdr:rowOff>9525</xdr:rowOff>
                  </to>
                </anchor>
              </controlPr>
            </control>
          </mc:Choice>
        </mc:AlternateContent>
        <mc:AlternateContent xmlns:mc="http://schemas.openxmlformats.org/markup-compatibility/2006">
          <mc:Choice Requires="x14">
            <control shapeId="1109" r:id="rId9" name="Check Box 85">
              <controlPr defaultSize="0" autoFill="0" autoLine="0" autoPict="0">
                <anchor moveWithCells="1">
                  <from>
                    <xdr:col>3</xdr:col>
                    <xdr:colOff>9525</xdr:colOff>
                    <xdr:row>46</xdr:row>
                    <xdr:rowOff>0</xdr:rowOff>
                  </from>
                  <to>
                    <xdr:col>3</xdr:col>
                    <xdr:colOff>2538413</xdr:colOff>
                    <xdr:row>47</xdr:row>
                    <xdr:rowOff>9525</xdr:rowOff>
                  </to>
                </anchor>
              </controlPr>
            </control>
          </mc:Choice>
        </mc:AlternateContent>
        <mc:AlternateContent xmlns:mc="http://schemas.openxmlformats.org/markup-compatibility/2006">
          <mc:Choice Requires="x14">
            <control shapeId="1110" r:id="rId10" name="Check Box 86">
              <controlPr defaultSize="0" autoFill="0" autoLine="0" autoPict="0">
                <anchor moveWithCells="1">
                  <from>
                    <xdr:col>3</xdr:col>
                    <xdr:colOff>9525</xdr:colOff>
                    <xdr:row>46</xdr:row>
                    <xdr:rowOff>0</xdr:rowOff>
                  </from>
                  <to>
                    <xdr:col>3</xdr:col>
                    <xdr:colOff>2538413</xdr:colOff>
                    <xdr:row>47</xdr:row>
                    <xdr:rowOff>9525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3"/>
  <sheetViews>
    <sheetView showGridLines="0" zoomScale="70" zoomScaleNormal="70" zoomScalePageLayoutView="85" workbookViewId="0">
      <selection activeCell="G9" sqref="G9"/>
    </sheetView>
  </sheetViews>
  <sheetFormatPr baseColWidth="10" defaultColWidth="10.86328125" defaultRowHeight="13.5" outlineLevelCol="1"/>
  <cols>
    <col min="1" max="1" width="42.6640625" style="80" customWidth="1" outlineLevel="1"/>
    <col min="2" max="2" width="21.1328125" style="80" customWidth="1" outlineLevel="1"/>
    <col min="3" max="3" width="19.46484375" style="80" customWidth="1" outlineLevel="1"/>
    <col min="4" max="4" width="18.33203125" style="80" customWidth="1" outlineLevel="1"/>
    <col min="5" max="5" width="15.46484375" style="80" customWidth="1" outlineLevel="1"/>
    <col min="6" max="6" width="58" style="80" customWidth="1"/>
    <col min="7" max="7" width="18.46484375" style="80" customWidth="1"/>
    <col min="8" max="8" width="19.33203125" style="80" customWidth="1"/>
    <col min="9" max="9" width="11.46484375" style="80" hidden="1" customWidth="1" outlineLevel="1"/>
    <col min="10" max="10" width="10.86328125" style="80" collapsed="1"/>
    <col min="11" max="16384" width="10.86328125" style="80"/>
  </cols>
  <sheetData>
    <row r="1" spans="1:9" ht="14.25" customHeight="1">
      <c r="F1" s="223">
        <f>G11</f>
        <v>0</v>
      </c>
      <c r="G1" s="223">
        <f>H11</f>
        <v>0</v>
      </c>
      <c r="H1" s="140"/>
    </row>
    <row r="2" spans="1:9" ht="14.25" customHeight="1">
      <c r="F2" s="223"/>
      <c r="G2" s="223"/>
      <c r="H2" s="140"/>
    </row>
    <row r="3" spans="1:9" ht="40.5">
      <c r="A3" s="103"/>
      <c r="B3" s="104" t="s">
        <v>345</v>
      </c>
      <c r="C3" s="104" t="s">
        <v>353</v>
      </c>
      <c r="D3" s="104" t="s">
        <v>172</v>
      </c>
      <c r="E3" s="104"/>
      <c r="F3" s="141"/>
      <c r="G3" s="142" t="s">
        <v>278</v>
      </c>
      <c r="H3" s="143" t="s">
        <v>172</v>
      </c>
    </row>
    <row r="4" spans="1:9" ht="15" customHeight="1">
      <c r="A4" s="39" t="str">
        <f>Umweltdeklaration!$B5</f>
        <v>KVA (inkl. direkte Emissionen)</v>
      </c>
      <c r="B4" s="105">
        <f>Umweltdeklaration!H5</f>
        <v>0</v>
      </c>
      <c r="C4" s="136"/>
      <c r="D4" s="105"/>
      <c r="E4" s="105"/>
      <c r="F4" s="140" t="s">
        <v>171</v>
      </c>
      <c r="G4" s="144">
        <f>$B27</f>
        <v>0</v>
      </c>
      <c r="H4" s="144">
        <f>$D27</f>
        <v>0</v>
      </c>
    </row>
    <row r="5" spans="1:9" ht="14.25" customHeight="1">
      <c r="A5" s="39" t="str">
        <f>Umweltdeklaration!$B6</f>
        <v>Hilfsstoffe + importierte Energieträger</v>
      </c>
      <c r="B5" s="105">
        <f>Umweltdeklaration!H6</f>
        <v>0</v>
      </c>
      <c r="C5" s="136"/>
      <c r="D5" s="105"/>
      <c r="E5" s="105"/>
      <c r="F5" s="224" t="e">
        <f>IF(G5&lt;=1,I6,I7)</f>
        <v>#DIV/0!</v>
      </c>
      <c r="G5" s="222" t="e">
        <f>G4/H4</f>
        <v>#DIV/0!</v>
      </c>
      <c r="H5" s="222"/>
    </row>
    <row r="6" spans="1:9" ht="15" customHeight="1" thickBot="1">
      <c r="A6" s="39" t="str">
        <f>Umweltdeklaration!$B7</f>
        <v>Behandlung Flugasche (inkl. Deponie)</v>
      </c>
      <c r="B6" s="105">
        <f>Umweltdeklaration!H7</f>
        <v>0</v>
      </c>
      <c r="C6" s="136"/>
      <c r="D6" s="105"/>
      <c r="E6" s="105"/>
      <c r="F6" s="225"/>
      <c r="G6" s="222"/>
      <c r="H6" s="222"/>
      <c r="I6" s="80" t="s">
        <v>400</v>
      </c>
    </row>
    <row r="7" spans="1:9" ht="13.9" thickTop="1">
      <c r="A7" s="39" t="str">
        <f>Umweltdeklaration!$B8</f>
        <v>Deponierung Bodenasche</v>
      </c>
      <c r="B7" s="105">
        <f>Umweltdeklaration!H8</f>
        <v>0</v>
      </c>
      <c r="C7" s="136"/>
      <c r="D7" s="39"/>
      <c r="E7" s="39"/>
      <c r="I7" s="80" t="s">
        <v>401</v>
      </c>
    </row>
    <row r="8" spans="1:9" ht="27.75">
      <c r="A8" s="39"/>
      <c r="B8" s="105"/>
      <c r="C8" s="136"/>
      <c r="D8" s="39"/>
      <c r="E8" s="39"/>
      <c r="F8" s="171" t="s">
        <v>404</v>
      </c>
      <c r="G8" s="142" t="s">
        <v>403</v>
      </c>
      <c r="H8" s="143" t="s">
        <v>172</v>
      </c>
    </row>
    <row r="9" spans="1:9" ht="14.25" thickBot="1">
      <c r="A9" s="39"/>
      <c r="B9" s="105"/>
      <c r="C9" s="136"/>
      <c r="D9" s="39"/>
      <c r="E9" s="39"/>
      <c r="F9" s="174" t="e">
        <f>IF(G9&gt;100%,I11,IF(G9&gt;=H9,I9,I10))</f>
        <v>#DIV/0!</v>
      </c>
      <c r="G9" s="173" t="e">
        <f>Prüfwert!C77</f>
        <v>#DIV/0!</v>
      </c>
      <c r="H9" s="170">
        <v>0.65</v>
      </c>
      <c r="I9" s="80" t="s">
        <v>405</v>
      </c>
    </row>
    <row r="10" spans="1:9" ht="13.9" thickTop="1">
      <c r="A10" s="39"/>
      <c r="B10" s="105"/>
      <c r="C10" s="136"/>
      <c r="D10" s="39"/>
      <c r="E10" s="39"/>
      <c r="I10" s="80" t="s">
        <v>406</v>
      </c>
    </row>
    <row r="11" spans="1:9" ht="20.25" customHeight="1">
      <c r="A11" s="39" t="str">
        <f>Umweltdeklaration!$B9</f>
        <v>Deponierung Gewebefilterrückstände</v>
      </c>
      <c r="B11" s="105">
        <f>Umweltdeklaration!H9</f>
        <v>0</v>
      </c>
      <c r="C11" s="136"/>
      <c r="D11" s="105"/>
      <c r="E11" s="105"/>
      <c r="F11" s="139" t="s">
        <v>279</v>
      </c>
      <c r="G11" s="167">
        <f>Eingabe!C4</f>
        <v>0</v>
      </c>
      <c r="H11" s="167">
        <f>Eingabe!C5</f>
        <v>0</v>
      </c>
      <c r="I11" s="80" t="s">
        <v>441</v>
      </c>
    </row>
    <row r="12" spans="1:9" ht="17.649999999999999">
      <c r="A12" s="39" t="str">
        <f>Umweltdeklaration!$B14</f>
        <v>Strom</v>
      </c>
      <c r="B12" s="105"/>
      <c r="C12" s="105" t="e">
        <f>D12*$B$27/$D$27</f>
        <v>#DIV/0!</v>
      </c>
      <c r="D12" s="105">
        <f>Umweltdeklaration!$D14</f>
        <v>0</v>
      </c>
      <c r="E12" s="105"/>
      <c r="F12" s="137"/>
      <c r="G12" s="137"/>
      <c r="H12" s="137"/>
    </row>
    <row r="13" spans="1:9" ht="13.9">
      <c r="A13" s="39" t="str">
        <f>Umweltdeklaration!$B15</f>
        <v>Wärme</v>
      </c>
      <c r="B13" s="105"/>
      <c r="C13" s="105" t="e">
        <f t="shared" ref="C13:C26" si="0">D13*$B$27/$D$27</f>
        <v>#DIV/0!</v>
      </c>
      <c r="D13" s="105">
        <f>Umweltdeklaration!$D15</f>
        <v>0</v>
      </c>
      <c r="E13" s="105"/>
      <c r="F13" s="115" t="s">
        <v>154</v>
      </c>
      <c r="G13" s="116"/>
      <c r="H13" s="116"/>
      <c r="I13" s="80" t="s">
        <v>149</v>
      </c>
    </row>
    <row r="14" spans="1:9">
      <c r="A14" s="39" t="str">
        <f>Umweltdeklaration!$B16</f>
        <v>Entsorgungsfunktion</v>
      </c>
      <c r="B14" s="105"/>
      <c r="C14" s="105" t="e">
        <f>D14*$B$27/$D$27</f>
        <v>#DIV/0!</v>
      </c>
      <c r="D14" s="105">
        <f>Umweltdeklaration!$D16</f>
        <v>0</v>
      </c>
      <c r="E14" s="105"/>
      <c r="F14" s="117" t="s">
        <v>148</v>
      </c>
      <c r="G14" s="118" t="str">
        <f>IF(Anlagentyp=1,I13,I14)</f>
        <v>nass</v>
      </c>
      <c r="H14" s="116"/>
      <c r="I14" s="80" t="s">
        <v>150</v>
      </c>
    </row>
    <row r="15" spans="1:9">
      <c r="A15" s="39" t="str">
        <f>Umweltdeklaration!$B17</f>
        <v>Sekundäraluminium, kg</v>
      </c>
      <c r="B15" s="105"/>
      <c r="C15" s="105" t="e">
        <f t="shared" si="0"/>
        <v>#DIV/0!</v>
      </c>
      <c r="D15" s="105">
        <f>Umweltdeklaration!$D17</f>
        <v>0</v>
      </c>
      <c r="E15" s="105"/>
      <c r="F15" s="117" t="s">
        <v>151</v>
      </c>
      <c r="G15" s="118" t="str">
        <f>IF(Eingabe!E9=1,I15,IF(Eingabe!E9=2,I16,I17))</f>
        <v>SCR high dust</v>
      </c>
      <c r="H15" s="120"/>
      <c r="I15" s="80" t="s">
        <v>152</v>
      </c>
    </row>
    <row r="16" spans="1:9">
      <c r="A16" s="39" t="str">
        <f>Umweltdeklaration!$B18</f>
        <v>Sekundärkupfer, kg</v>
      </c>
      <c r="B16" s="110"/>
      <c r="C16" s="105" t="e">
        <f t="shared" si="0"/>
        <v>#DIV/0!</v>
      </c>
      <c r="D16" s="105">
        <f>Umweltdeklaration!$D18</f>
        <v>0</v>
      </c>
      <c r="E16" s="105"/>
      <c r="F16" s="117"/>
      <c r="G16" s="118"/>
      <c r="H16" s="120"/>
      <c r="I16" s="80" t="s">
        <v>153</v>
      </c>
    </row>
    <row r="17" spans="1:10" ht="13.9">
      <c r="A17" s="39" t="str">
        <f>Umweltdeklaration!$B19</f>
        <v>Sekundär-Gold, kg</v>
      </c>
      <c r="C17" s="105" t="e">
        <f t="shared" si="0"/>
        <v>#DIV/0!</v>
      </c>
      <c r="D17" s="105">
        <f>Umweltdeklaration!$D19</f>
        <v>0</v>
      </c>
      <c r="E17" s="105"/>
      <c r="F17" s="115" t="s">
        <v>155</v>
      </c>
      <c r="G17" s="119" t="s">
        <v>146</v>
      </c>
      <c r="H17" s="120"/>
      <c r="I17" s="80" t="s">
        <v>292</v>
      </c>
    </row>
    <row r="18" spans="1:10">
      <c r="A18" s="39" t="str">
        <f>Umweltdeklaration!$B20</f>
        <v>Sekundär-Edelstahl, kg</v>
      </c>
      <c r="C18" s="105" t="e">
        <f t="shared" si="0"/>
        <v>#DIV/0!</v>
      </c>
      <c r="D18" s="105">
        <f>Umweltdeklaration!$D20</f>
        <v>0</v>
      </c>
      <c r="E18" s="105"/>
      <c r="F18" s="117" t="s">
        <v>138</v>
      </c>
      <c r="G18" s="121">
        <f>IF(Eingabe!$E$47=TRUE,Eingabe!C12*$I$24,Eingabe!C12)</f>
        <v>0</v>
      </c>
      <c r="H18" s="120"/>
    </row>
    <row r="19" spans="1:10">
      <c r="A19" s="39"/>
      <c r="C19" s="105"/>
      <c r="D19" s="105"/>
      <c r="E19" s="105"/>
      <c r="F19" s="117"/>
      <c r="G19" s="121"/>
      <c r="H19" s="120"/>
    </row>
    <row r="20" spans="1:10" ht="13.9">
      <c r="A20" s="39"/>
      <c r="C20" s="105"/>
      <c r="D20" s="105"/>
      <c r="E20" s="105"/>
      <c r="F20" s="115" t="s">
        <v>398</v>
      </c>
      <c r="G20" s="119" t="s">
        <v>427</v>
      </c>
      <c r="H20" s="120"/>
    </row>
    <row r="21" spans="1:10">
      <c r="A21" s="39"/>
      <c r="C21" s="105"/>
      <c r="D21" s="105"/>
      <c r="E21" s="105"/>
      <c r="F21" s="117" t="s">
        <v>399</v>
      </c>
      <c r="G21" s="172">
        <f>Eingabe!C15</f>
        <v>0</v>
      </c>
      <c r="H21" s="120"/>
    </row>
    <row r="22" spans="1:10">
      <c r="A22" s="39"/>
      <c r="C22" s="105"/>
      <c r="D22" s="105"/>
      <c r="E22" s="105"/>
      <c r="F22" s="117"/>
      <c r="G22" s="121"/>
      <c r="H22" s="120"/>
    </row>
    <row r="23" spans="1:10" ht="27.75">
      <c r="A23" s="39" t="str">
        <f>Umweltdeklaration!$B21</f>
        <v>Eisenschrott, kg</v>
      </c>
      <c r="C23" s="105" t="e">
        <f t="shared" si="0"/>
        <v>#DIV/0!</v>
      </c>
      <c r="D23" s="105">
        <f>Umweltdeklaration!$D21</f>
        <v>0</v>
      </c>
      <c r="E23" s="105"/>
      <c r="F23" s="115" t="s">
        <v>341</v>
      </c>
      <c r="G23" s="119" t="s">
        <v>146</v>
      </c>
      <c r="H23" s="119" t="s">
        <v>348</v>
      </c>
      <c r="I23" s="80" t="e">
        <f>(0.5*3*Eingabe!C47)/(3*Eingabe!C47+Eingabe!C48)</f>
        <v>#DIV/0!</v>
      </c>
    </row>
    <row r="24" spans="1:10">
      <c r="A24" s="111" t="str">
        <f>Umweltdeklaration!$B22</f>
        <v>Sekundärzink, kg</v>
      </c>
      <c r="C24" s="105" t="e">
        <f t="shared" si="0"/>
        <v>#DIV/0!</v>
      </c>
      <c r="D24" s="105">
        <f>Umweltdeklaration!$D22</f>
        <v>0</v>
      </c>
      <c r="E24" s="105"/>
      <c r="F24" s="117" t="s">
        <v>342</v>
      </c>
      <c r="G24" s="121">
        <f>IF(Eingabe!$E$47=TRUE,Eingabe!C18*$I$24,Eingabe!C18)</f>
        <v>0</v>
      </c>
      <c r="H24" s="161">
        <f>Eingabe!$D18</f>
        <v>0</v>
      </c>
      <c r="I24" s="80" t="e">
        <f>1-I23</f>
        <v>#DIV/0!</v>
      </c>
    </row>
    <row r="25" spans="1:10">
      <c r="A25" s="39" t="str">
        <f>Umweltdeklaration!$B23</f>
        <v>Sekundär-Zinkkonzentrat, kg</v>
      </c>
      <c r="C25" s="105" t="e">
        <f t="shared" si="0"/>
        <v>#DIV/0!</v>
      </c>
      <c r="D25" s="105">
        <f>Umweltdeklaration!$D23</f>
        <v>0</v>
      </c>
      <c r="E25" s="105"/>
      <c r="F25" s="117" t="s">
        <v>343</v>
      </c>
      <c r="G25" s="121">
        <f>IF(Eingabe!$E$47=TRUE,Eingabe!C19*$I$24,Eingabe!C19)</f>
        <v>0</v>
      </c>
      <c r="H25" s="161">
        <f>Eingabe!$D19</f>
        <v>0</v>
      </c>
    </row>
    <row r="26" spans="1:10" ht="13.9">
      <c r="A26" s="39" t="str">
        <f>Umweltdeklaration!$B24</f>
        <v>Sekundär-Bleikonzentrat, kg</v>
      </c>
      <c r="C26" s="105" t="e">
        <f t="shared" si="0"/>
        <v>#DIV/0!</v>
      </c>
      <c r="D26" s="105">
        <f>Umweltdeklaration!$D24</f>
        <v>0</v>
      </c>
      <c r="E26" s="105"/>
      <c r="F26" s="115"/>
      <c r="G26" s="115"/>
      <c r="H26" s="115"/>
    </row>
    <row r="27" spans="1:10" ht="13.9">
      <c r="A27" s="112" t="s">
        <v>209</v>
      </c>
      <c r="B27" s="108">
        <f>SUM(B4:B11)</f>
        <v>0</v>
      </c>
      <c r="C27" s="108" t="e">
        <f>SUM(C12:C26)</f>
        <v>#DIV/0!</v>
      </c>
      <c r="D27" s="108">
        <f>SUM(D12:D26)</f>
        <v>0</v>
      </c>
      <c r="E27" s="108"/>
      <c r="F27" s="115" t="s">
        <v>196</v>
      </c>
      <c r="G27" s="119" t="s">
        <v>215</v>
      </c>
      <c r="H27" s="119" t="s">
        <v>156</v>
      </c>
    </row>
    <row r="28" spans="1:10">
      <c r="F28" s="122" t="s">
        <v>157</v>
      </c>
      <c r="G28" s="121">
        <f>IF(Eingabe!$E$47=TRUE,Eingabe!C22*$I$24,Eingabe!C22)</f>
        <v>0</v>
      </c>
      <c r="H28" s="123">
        <f>Eingabe!$D22</f>
        <v>0</v>
      </c>
    </row>
    <row r="29" spans="1:10">
      <c r="F29" s="122" t="s">
        <v>169</v>
      </c>
      <c r="G29" s="121">
        <f>IF(Eingabe!$E$47=TRUE,Eingabe!C23*$I$24,Eingabe!C23)</f>
        <v>0</v>
      </c>
      <c r="H29" s="123"/>
    </row>
    <row r="30" spans="1:10">
      <c r="F30" s="122" t="s">
        <v>161</v>
      </c>
      <c r="G30" s="121">
        <f>IF(Eingabe!$E$47=TRUE,Eingabe!C24*$I$24,Eingabe!C24)</f>
        <v>0</v>
      </c>
      <c r="H30" s="123">
        <f>Eingabe!$D24</f>
        <v>0</v>
      </c>
    </row>
    <row r="31" spans="1:10">
      <c r="B31" s="109"/>
      <c r="C31" s="109"/>
      <c r="F31" s="122" t="s">
        <v>158</v>
      </c>
      <c r="G31" s="121">
        <f>IF(Eingabe!$E$47=TRUE,Eingabe!C25*$I$24,Eingabe!C25)</f>
        <v>0</v>
      </c>
      <c r="H31" s="123">
        <f>Eingabe!$D25</f>
        <v>0</v>
      </c>
    </row>
    <row r="32" spans="1:10">
      <c r="F32" s="122" t="s">
        <v>159</v>
      </c>
      <c r="G32" s="121">
        <f>IF(Eingabe!$E$47=TRUE,Eingabe!C26*$I$24,Eingabe!C26)</f>
        <v>0</v>
      </c>
      <c r="H32" s="123">
        <f>Eingabe!$D26</f>
        <v>0</v>
      </c>
      <c r="J32" s="113"/>
    </row>
    <row r="33" spans="1:10">
      <c r="F33" s="122" t="s">
        <v>294</v>
      </c>
      <c r="G33" s="121">
        <f>IF(Eingabe!$E$47=TRUE,Eingabe!C27*$I$24,Eingabe!C27)</f>
        <v>0</v>
      </c>
      <c r="H33" s="123"/>
    </row>
    <row r="34" spans="1:10">
      <c r="F34" s="122" t="s">
        <v>293</v>
      </c>
      <c r="G34" s="121">
        <f>IF(Eingabe!$E$47=TRUE,Eingabe!C28*$I$24,Eingabe!C28)</f>
        <v>0</v>
      </c>
      <c r="H34" s="116"/>
    </row>
    <row r="35" spans="1:10">
      <c r="F35" s="122" t="s">
        <v>295</v>
      </c>
      <c r="G35" s="121">
        <f>IF(Eingabe!$E$47=TRUE,Eingabe!C29*$I$24,Eingabe!C29)</f>
        <v>0</v>
      </c>
      <c r="H35" s="124"/>
    </row>
    <row r="36" spans="1:10">
      <c r="F36" s="122" t="s">
        <v>160</v>
      </c>
      <c r="G36" s="121">
        <f>IF(Eingabe!$E$47=TRUE,Eingabe!C30*$I$24,Eingabe!C30)</f>
        <v>0</v>
      </c>
      <c r="H36" s="124"/>
    </row>
    <row r="37" spans="1:10">
      <c r="A37" s="106"/>
      <c r="B37" s="107"/>
      <c r="C37" s="107"/>
      <c r="D37" s="106"/>
      <c r="E37" s="106"/>
      <c r="F37" s="122" t="s">
        <v>291</v>
      </c>
      <c r="G37" s="121">
        <f>IF(Eingabe!$E$47=TRUE,Eingabe!C31*$I$24,Eingabe!C31)</f>
        <v>0</v>
      </c>
      <c r="H37" s="123">
        <f>Eingabe!$D31</f>
        <v>0</v>
      </c>
    </row>
    <row r="38" spans="1:10">
      <c r="B38" s="108"/>
      <c r="C38" s="108"/>
      <c r="D38" s="108"/>
      <c r="E38" s="108"/>
      <c r="F38" s="122" t="s">
        <v>191</v>
      </c>
      <c r="G38" s="121">
        <f>IF(Eingabe!$E$47=TRUE,Eingabe!C32*$I$24,Eingabe!C32)</f>
        <v>0</v>
      </c>
      <c r="H38" s="123">
        <f>Eingabe!$D32</f>
        <v>0</v>
      </c>
    </row>
    <row r="39" spans="1:10">
      <c r="F39" s="122" t="s">
        <v>162</v>
      </c>
      <c r="G39" s="153">
        <f>IF(Eingabe!$E$47=TRUE,Eingabe!C33*$I$24,Eingabe!C33)</f>
        <v>0</v>
      </c>
      <c r="H39" s="116"/>
    </row>
    <row r="40" spans="1:10">
      <c r="F40" s="122" t="s">
        <v>25</v>
      </c>
      <c r="G40" s="125">
        <f>IF(Eingabe!$E$47=TRUE,Eingabe!C34*$I$24,Eingabe!C34)</f>
        <v>0</v>
      </c>
      <c r="H40" s="116"/>
    </row>
    <row r="41" spans="1:10">
      <c r="F41" s="122" t="s">
        <v>281</v>
      </c>
      <c r="G41" s="157">
        <f>IF(Eingabe!$E$47=TRUE,Eingabe!C35*$I$24,Eingabe!C35)</f>
        <v>0</v>
      </c>
      <c r="H41" s="116"/>
    </row>
    <row r="42" spans="1:10">
      <c r="F42" s="122" t="s">
        <v>282</v>
      </c>
      <c r="G42" s="154">
        <f>IF(Eingabe!$E$47=TRUE,Eingabe!C36*$I$24,Eingabe!C36)</f>
        <v>0</v>
      </c>
      <c r="H42" s="116"/>
    </row>
    <row r="43" spans="1:10">
      <c r="F43" s="122" t="s">
        <v>283</v>
      </c>
      <c r="G43" s="153">
        <f>IF(Eingabe!$E$47=TRUE,Eingabe!C37*$I$24,Eingabe!C37)</f>
        <v>0</v>
      </c>
      <c r="H43" s="116"/>
    </row>
    <row r="44" spans="1:10">
      <c r="F44" s="122"/>
      <c r="G44" s="122"/>
      <c r="H44" s="116"/>
    </row>
    <row r="45" spans="1:10" ht="13.9">
      <c r="F45" s="115" t="s">
        <v>323</v>
      </c>
      <c r="G45" s="119" t="s">
        <v>216</v>
      </c>
      <c r="H45" s="119"/>
      <c r="J45" s="105"/>
    </row>
    <row r="46" spans="1:10">
      <c r="F46" s="126" t="s">
        <v>214</v>
      </c>
      <c r="G46" s="157">
        <f>IF(Eingabe!$E$47=TRUE,Eingabe!C40*$I$24,Eingabe!C40)</f>
        <v>0</v>
      </c>
      <c r="H46" s="127"/>
    </row>
    <row r="47" spans="1:10">
      <c r="F47" s="126" t="s">
        <v>211</v>
      </c>
      <c r="G47" s="157">
        <f>IF(Eingabe!$E$47=TRUE,Eingabe!C41*$I$24,Eingabe!C41)</f>
        <v>0</v>
      </c>
      <c r="H47" s="127"/>
    </row>
    <row r="48" spans="1:10">
      <c r="F48" s="126" t="s">
        <v>265</v>
      </c>
      <c r="G48" s="157">
        <f>IF(Eingabe!$E$47=TRUE,Eingabe!C42*$I$24,Eingabe!C42)</f>
        <v>0</v>
      </c>
      <c r="H48" s="127"/>
    </row>
    <row r="49" spans="6:9">
      <c r="F49" s="126" t="s">
        <v>212</v>
      </c>
      <c r="G49" s="157">
        <f>IF(Eingabe!$E$47=TRUE,Eingabe!C43*$I$24,Eingabe!C43)</f>
        <v>0</v>
      </c>
      <c r="H49" s="127"/>
    </row>
    <row r="50" spans="6:9">
      <c r="F50" s="126" t="s">
        <v>213</v>
      </c>
      <c r="G50" s="157">
        <f>IF(Eingabe!$E$47=TRUE,Eingabe!C44*$I$24,Eingabe!C44)</f>
        <v>0</v>
      </c>
      <c r="H50" s="127"/>
    </row>
    <row r="51" spans="6:9">
      <c r="F51" s="126"/>
      <c r="G51" s="126"/>
      <c r="H51" s="126"/>
    </row>
    <row r="52" spans="6:9" ht="13.9">
      <c r="F52" s="115" t="s">
        <v>139</v>
      </c>
      <c r="G52" s="164" t="s">
        <v>147</v>
      </c>
      <c r="H52" s="116"/>
    </row>
    <row r="53" spans="6:9">
      <c r="F53" s="126" t="s">
        <v>324</v>
      </c>
      <c r="G53" s="125">
        <f>IF(Eingabe!$E$47=TRUE,Eingabe!C47*0.5,Eingabe!C47)</f>
        <v>0</v>
      </c>
      <c r="H53" s="129"/>
    </row>
    <row r="54" spans="6:9">
      <c r="F54" s="126" t="s">
        <v>290</v>
      </c>
      <c r="G54" s="125">
        <f>Eingabe!C48</f>
        <v>0</v>
      </c>
      <c r="H54" s="116"/>
    </row>
    <row r="55" spans="6:9">
      <c r="F55" s="126"/>
      <c r="G55" s="125"/>
      <c r="H55" s="116"/>
    </row>
    <row r="56" spans="6:9" ht="13.9">
      <c r="F56" s="115" t="s">
        <v>140</v>
      </c>
      <c r="G56" s="165" t="s">
        <v>146</v>
      </c>
      <c r="H56" s="116"/>
    </row>
    <row r="57" spans="6:9">
      <c r="F57" s="130" t="s">
        <v>141</v>
      </c>
      <c r="G57" s="214">
        <f>IF(Eingabe!$E$47=TRUE,Eingabe!C51*$I$24,Eingabe!C51)</f>
        <v>0</v>
      </c>
      <c r="H57" s="116"/>
    </row>
    <row r="58" spans="6:9">
      <c r="F58" s="130" t="s">
        <v>142</v>
      </c>
      <c r="G58" s="214">
        <f>IF(Eingabe!$E$47=TRUE,Eingabe!C52*$I$24,Eingabe!C52)</f>
        <v>0</v>
      </c>
      <c r="H58" s="116"/>
      <c r="I58" s="80" t="s">
        <v>192</v>
      </c>
    </row>
    <row r="59" spans="6:9">
      <c r="F59" s="130" t="s">
        <v>143</v>
      </c>
      <c r="G59" s="214">
        <f>IF(Eingabe!$E$47=TRUE,Eingabe!C53*$I$24,Eingabe!C53)</f>
        <v>0</v>
      </c>
      <c r="H59" s="116"/>
    </row>
    <row r="60" spans="6:9">
      <c r="F60" s="130" t="s">
        <v>144</v>
      </c>
      <c r="G60" s="214">
        <f>IF(Eingabe!$E$47=TRUE,Eingabe!C54*$I$24,Eingabe!C54)</f>
        <v>0</v>
      </c>
      <c r="H60" s="116"/>
    </row>
    <row r="61" spans="6:9">
      <c r="F61" s="130" t="s">
        <v>145</v>
      </c>
      <c r="G61" s="215">
        <f>IF(Eingabe!$E$47=TRUE,Eingabe!C55*$I$24,Eingabe!C55)</f>
        <v>0</v>
      </c>
      <c r="H61" s="116"/>
      <c r="I61" s="80" t="s">
        <v>193</v>
      </c>
    </row>
    <row r="62" spans="6:9">
      <c r="F62" s="130" t="s">
        <v>322</v>
      </c>
      <c r="G62" s="214">
        <f>IF(Eingabe!$E$47=TRUE,Eingabe!C56*$I$24,Eingabe!C56)</f>
        <v>0</v>
      </c>
      <c r="H62" s="116"/>
    </row>
    <row r="63" spans="6:9">
      <c r="F63" s="130" t="s">
        <v>321</v>
      </c>
      <c r="G63" s="214">
        <f>IF(Eingabe!$E$47=TRUE,Eingabe!C57*$I$24,Eingabe!C57)</f>
        <v>0</v>
      </c>
      <c r="H63" s="116"/>
    </row>
    <row r="64" spans="6:9">
      <c r="F64" s="116"/>
      <c r="G64" s="116"/>
      <c r="H64" s="116"/>
    </row>
    <row r="65" spans="6:10" ht="13.9">
      <c r="F65" s="115" t="s">
        <v>163</v>
      </c>
      <c r="G65" s="165" t="s">
        <v>165</v>
      </c>
      <c r="H65" s="116"/>
      <c r="J65" s="108"/>
    </row>
    <row r="66" spans="6:10">
      <c r="F66" s="130" t="s">
        <v>164</v>
      </c>
      <c r="G66" s="123">
        <f>Eingabe!C60</f>
        <v>0</v>
      </c>
      <c r="H66" s="116" t="str">
        <f>IF(Eingabe!E60=1,Ergebnis!I58,I61)</f>
        <v>intern</v>
      </c>
    </row>
    <row r="67" spans="6:10">
      <c r="F67" s="130" t="s">
        <v>194</v>
      </c>
      <c r="G67" s="123">
        <f>Eingabe!C61</f>
        <v>0</v>
      </c>
      <c r="H67" s="116"/>
    </row>
    <row r="68" spans="6:10">
      <c r="F68" s="131" t="s">
        <v>166</v>
      </c>
      <c r="G68" s="123">
        <f>Eingabe!C62</f>
        <v>0</v>
      </c>
      <c r="H68" s="116"/>
    </row>
    <row r="69" spans="6:10" ht="13.9" thickBot="1">
      <c r="F69" s="131" t="s">
        <v>167</v>
      </c>
      <c r="G69" s="123">
        <f>Eingabe!C63</f>
        <v>0</v>
      </c>
      <c r="H69" s="116"/>
    </row>
    <row r="70" spans="6:10" ht="13.9">
      <c r="F70" s="132" t="s">
        <v>7</v>
      </c>
      <c r="G70" s="133">
        <f>SUM(G66:G69)</f>
        <v>0</v>
      </c>
      <c r="H70" s="116"/>
    </row>
    <row r="71" spans="6:10" ht="13.9">
      <c r="F71" s="134"/>
      <c r="G71" s="134"/>
      <c r="H71" s="116"/>
    </row>
    <row r="72" spans="6:10" ht="13.9">
      <c r="F72" s="135" t="s">
        <v>170</v>
      </c>
      <c r="G72" s="165" t="s">
        <v>146</v>
      </c>
      <c r="H72" s="130"/>
    </row>
    <row r="73" spans="6:10">
      <c r="F73" s="130" t="s">
        <v>168</v>
      </c>
      <c r="G73" s="121">
        <f>IF(Eingabe!$E$47=TRUE,Eingabe!C67*$I$24,Eingabe!C67)</f>
        <v>0</v>
      </c>
      <c r="H73" s="116"/>
    </row>
  </sheetData>
  <sheetProtection password="862F" sheet="1" objects="1" scenarios="1"/>
  <mergeCells count="4">
    <mergeCell ref="G5:H6"/>
    <mergeCell ref="F1:F2"/>
    <mergeCell ref="G1:G2"/>
    <mergeCell ref="F5:F6"/>
  </mergeCells>
  <conditionalFormatting sqref="G5">
    <cfRule type="cellIs" dxfId="23" priority="37" operator="equal">
      <formula>1</formula>
    </cfRule>
    <cfRule type="cellIs" dxfId="22" priority="39" operator="between">
      <formula>1</formula>
      <formula>1.05</formula>
    </cfRule>
    <cfRule type="cellIs" dxfId="21" priority="40" operator="between">
      <formula>1.01</formula>
      <formula>1.05</formula>
    </cfRule>
    <cfRule type="cellIs" dxfId="20" priority="41" operator="between">
      <formula>1.01</formula>
      <formula>1.05</formula>
    </cfRule>
    <cfRule type="cellIs" dxfId="19" priority="42" operator="lessThan">
      <formula>1.01</formula>
    </cfRule>
    <cfRule type="cellIs" dxfId="18" priority="43" operator="between">
      <formula>1</formula>
      <formula>1.05</formula>
    </cfRule>
    <cfRule type="cellIs" dxfId="17" priority="44" operator="lessThan">
      <formula>1</formula>
    </cfRule>
    <cfRule type="cellIs" dxfId="16" priority="45" operator="greaterThan">
      <formula>1.05</formula>
    </cfRule>
  </conditionalFormatting>
  <conditionalFormatting sqref="G9">
    <cfRule type="cellIs" dxfId="15" priority="2" operator="lessThan">
      <formula>$H$9</formula>
    </cfRule>
    <cfRule type="cellIs" dxfId="14" priority="3" operator="equal">
      <formula>$H$9</formula>
    </cfRule>
    <cfRule type="cellIs" dxfId="13" priority="4" operator="greaterThan">
      <formula>$H$9</formula>
    </cfRule>
    <cfRule type="cellIs" dxfId="12" priority="1" operator="greaterThan">
      <formula>1</formula>
    </cfRule>
  </conditionalFormatting>
  <pageMargins left="0.7" right="0.7" top="0.78740157499999996" bottom="0.78740157499999996" header="0.3" footer="0.3"/>
  <pageSetup paperSize="9" orientation="portrait"/>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30"/>
  <sheetViews>
    <sheetView showGridLines="0" topLeftCell="B2" zoomScale="70" zoomScaleNormal="70" zoomScalePageLayoutView="115" workbookViewId="0">
      <selection activeCell="B2" sqref="B2"/>
    </sheetView>
  </sheetViews>
  <sheetFormatPr baseColWidth="10" defaultColWidth="10.86328125" defaultRowHeight="12.75" outlineLevelRow="1" outlineLevelCol="1"/>
  <cols>
    <col min="1" max="1" width="5.46484375" style="12" hidden="1" customWidth="1" outlineLevel="1"/>
    <col min="2" max="2" width="46.1328125" style="12" customWidth="1" collapsed="1"/>
    <col min="3" max="3" width="25" style="12" customWidth="1"/>
    <col min="4" max="4" width="18.46484375" style="12" customWidth="1"/>
    <col min="5" max="5" width="7.46484375" style="12" customWidth="1"/>
    <col min="6" max="6" width="2.46484375" style="12" customWidth="1"/>
    <col min="7" max="7" width="27.6640625" style="15" bestFit="1" customWidth="1"/>
    <col min="8" max="8" width="17.86328125" style="12" customWidth="1"/>
    <col min="9" max="9" width="14" style="12" customWidth="1"/>
    <col min="10" max="10" width="15.46484375" style="12" customWidth="1"/>
    <col min="11" max="11" width="19.6640625" style="12" customWidth="1"/>
    <col min="12" max="12" width="12.86328125" style="12" customWidth="1"/>
    <col min="13" max="16384" width="10.86328125" style="12"/>
  </cols>
  <sheetData>
    <row r="1" spans="1:13" hidden="1" outlineLevel="1">
      <c r="H1" s="13">
        <v>29</v>
      </c>
      <c r="I1" s="13">
        <v>35</v>
      </c>
      <c r="J1" s="13">
        <v>34</v>
      </c>
      <c r="K1" s="13">
        <v>31</v>
      </c>
    </row>
    <row r="2" spans="1:13" ht="42" customHeight="1" collapsed="1">
      <c r="B2" s="160" t="s">
        <v>339</v>
      </c>
      <c r="C2" s="159">
        <f>Eingabe!C4</f>
        <v>0</v>
      </c>
      <c r="D2" s="56" t="s">
        <v>171</v>
      </c>
      <c r="E2" s="57" t="s">
        <v>23</v>
      </c>
      <c r="F2" s="40"/>
      <c r="G2" s="41"/>
      <c r="H2" s="56" t="s">
        <v>171</v>
      </c>
      <c r="I2" s="56" t="s">
        <v>187</v>
      </c>
      <c r="J2" s="56" t="s">
        <v>188</v>
      </c>
      <c r="K2" s="56" t="s">
        <v>189</v>
      </c>
      <c r="L2" s="40"/>
    </row>
    <row r="3" spans="1:13" ht="13.9">
      <c r="B3" s="48"/>
      <c r="C3" s="49"/>
      <c r="D3" s="55" t="s">
        <v>16</v>
      </c>
      <c r="E3" s="50"/>
      <c r="F3" s="40"/>
      <c r="G3" s="41"/>
      <c r="H3" s="57" t="s">
        <v>16</v>
      </c>
      <c r="I3" s="57" t="s">
        <v>15</v>
      </c>
      <c r="J3" s="57" t="s">
        <v>14</v>
      </c>
      <c r="K3" s="57" t="s">
        <v>210</v>
      </c>
      <c r="L3" s="40"/>
    </row>
    <row r="4" spans="1:13" ht="13.5">
      <c r="B4" s="27" t="s">
        <v>344</v>
      </c>
      <c r="C4" s="27"/>
      <c r="D4" s="46"/>
      <c r="E4" s="61" t="e">
        <f t="shared" ref="E4:E10" si="0">H4/H$10</f>
        <v>#DIV/0!</v>
      </c>
      <c r="F4" s="40"/>
      <c r="G4" s="41"/>
      <c r="H4" s="47">
        <f>LCIA!$AK9+LCIA!$AL9</f>
        <v>0</v>
      </c>
      <c r="I4" s="47">
        <f>LCIA!$AK10+LCIA!$AL10</f>
        <v>0</v>
      </c>
      <c r="J4" s="47">
        <f>LCIA!$AK11+LCIA!$AL11</f>
        <v>0</v>
      </c>
      <c r="K4" s="47">
        <f>LCIA!$AK12+LCIA!$AL12</f>
        <v>0</v>
      </c>
      <c r="L4" s="40"/>
    </row>
    <row r="5" spans="1:13" ht="13.5">
      <c r="B5" s="27" t="s">
        <v>195</v>
      </c>
      <c r="C5" s="27"/>
      <c r="D5" s="46"/>
      <c r="E5" s="61" t="e">
        <f t="shared" si="0"/>
        <v>#DIV/0!</v>
      </c>
      <c r="F5" s="40"/>
      <c r="G5" s="41"/>
      <c r="H5" s="47">
        <f>LCIA!$E9+LCIA!$F9+LCIA!$G9+LCIA!$L9+LCIA!$M9+LCIA!$AM9+LCIA!$AN9+LCIA!$AO9+LCIA!$AP9+LCIA!$AQ9+LCIA!$AR9+LCIA!$AS9</f>
        <v>0</v>
      </c>
      <c r="I5" s="47">
        <f>LCIA!$E10+LCIA!$F10+LCIA!$G9+LCIA!$L10+LCIA!$M10+LCIA!$AM10+LCIA!$AN10+LCIA!$AO10+LCIA!$AP10+LCIA!$AQ10+LCIA!$AR10+LCIA!$AS10</f>
        <v>0</v>
      </c>
      <c r="J5" s="47">
        <f>LCIA!$E11+LCIA!$F11+LCIA!$G9+LCIA!$L11+LCIA!$M11+LCIA!$AM11+LCIA!$AN11+LCIA!$AO11+LCIA!$AP11+LCIA!$AQ11+LCIA!$AR11+LCIA!$AS11</f>
        <v>0</v>
      </c>
      <c r="K5" s="47">
        <f>LCIA!$E12+LCIA!$F12+LCIA!$G9+LCIA!$L12+LCIA!$M12+LCIA!$AM12+LCIA!$AN12+LCIA!$AO12+LCIA!$AP12+LCIA!$AQ12+LCIA!$AR12+LCIA!$AS12</f>
        <v>0</v>
      </c>
      <c r="L5" s="40"/>
    </row>
    <row r="6" spans="1:13" ht="13.5">
      <c r="B6" s="27" t="s">
        <v>280</v>
      </c>
      <c r="C6" s="27"/>
      <c r="D6" s="62"/>
      <c r="E6" s="61" t="e">
        <f t="shared" si="0"/>
        <v>#DIV/0!</v>
      </c>
      <c r="F6" s="40"/>
      <c r="G6" s="41"/>
      <c r="H6" s="47">
        <f>SUM(LCIA!$Q9:$AH9)</f>
        <v>0</v>
      </c>
      <c r="I6" s="47">
        <f>SUM(LCIA!$Q10:$AH10)</f>
        <v>0</v>
      </c>
      <c r="J6" s="47">
        <f>SUM(LCIA!$Q11:$AH11)</f>
        <v>0</v>
      </c>
      <c r="K6" s="47">
        <f>SUM(LCIA!$Q12:$AH12)</f>
        <v>0</v>
      </c>
      <c r="L6" s="40"/>
    </row>
    <row r="7" spans="1:13" ht="13.5">
      <c r="B7" s="27" t="s">
        <v>198</v>
      </c>
      <c r="C7" s="27"/>
      <c r="D7" s="62"/>
      <c r="E7" s="61" t="e">
        <f t="shared" si="0"/>
        <v>#DIV/0!</v>
      </c>
      <c r="F7" s="40"/>
      <c r="G7" s="41"/>
      <c r="H7" s="47">
        <f>LCIA!$C9+LCIA!$D9+LCIA!H9+LCIA!I9+LCIA!$N9+LCIA!$O9+LCIA!$P9+LCIA!$AI9</f>
        <v>0</v>
      </c>
      <c r="I7" s="47">
        <f>LCIA!$C10+LCIA!$D10+LCIA!H10+LCIA!I10+LCIA!$N10+LCIA!$O10+LCIA!$P10+LCIA!$AI10</f>
        <v>0</v>
      </c>
      <c r="J7" s="47">
        <f>LCIA!$C11+LCIA!$D11+LCIA!H11+LCIA!I11+LCIA!$N11+LCIA!$O11+LCIA!$P11+LCIA!$AI11</f>
        <v>0</v>
      </c>
      <c r="K7" s="47">
        <f>LCIA!$C12+LCIA!$D12+LCIA!H12+LCIA!I12+LCIA!$N12+LCIA!$O12+LCIA!$P12+LCIA!$AI12</f>
        <v>0</v>
      </c>
      <c r="L7" s="40"/>
    </row>
    <row r="8" spans="1:13" ht="13.5">
      <c r="B8" s="27" t="s">
        <v>197</v>
      </c>
      <c r="C8" s="27"/>
      <c r="D8" s="62"/>
      <c r="E8" s="61" t="e">
        <f t="shared" si="0"/>
        <v>#DIV/0!</v>
      </c>
      <c r="F8" s="40"/>
      <c r="G8" s="41"/>
      <c r="H8" s="47">
        <f>LCIA!$J9+LCIA!$K9</f>
        <v>0</v>
      </c>
      <c r="I8" s="47">
        <f>LCIA!$J10+LCIA!$K10</f>
        <v>0</v>
      </c>
      <c r="J8" s="47">
        <f>LCIA!$J11+LCIA!$K11</f>
        <v>0</v>
      </c>
      <c r="K8" s="47">
        <f>LCIA!$J12+LCIA!$K12</f>
        <v>0</v>
      </c>
      <c r="L8" s="40"/>
      <c r="M8" s="19"/>
    </row>
    <row r="9" spans="1:13" ht="13.5">
      <c r="B9" s="27" t="s">
        <v>199</v>
      </c>
      <c r="C9" s="27"/>
      <c r="D9" s="62"/>
      <c r="E9" s="61" t="e">
        <f t="shared" si="0"/>
        <v>#DIV/0!</v>
      </c>
      <c r="F9" s="40"/>
      <c r="G9" s="41"/>
      <c r="H9" s="47">
        <f>LCIA!AJ9</f>
        <v>0</v>
      </c>
      <c r="I9" s="47">
        <f>LCIA!AJ10</f>
        <v>0</v>
      </c>
      <c r="J9" s="47">
        <f>LCIA!AJ11</f>
        <v>0</v>
      </c>
      <c r="K9" s="47">
        <f>LCIA!AJ12</f>
        <v>0</v>
      </c>
      <c r="L9" s="40"/>
    </row>
    <row r="10" spans="1:13" ht="13.9">
      <c r="B10" s="71" t="s">
        <v>7</v>
      </c>
      <c r="C10" s="71"/>
      <c r="D10" s="72"/>
      <c r="E10" s="73" t="e">
        <f t="shared" si="0"/>
        <v>#DIV/0!</v>
      </c>
      <c r="F10" s="40"/>
      <c r="G10" s="41"/>
      <c r="H10" s="75">
        <f>SUM(H5:H8)</f>
        <v>0</v>
      </c>
      <c r="I10" s="75">
        <f>SUM(I5:I8)</f>
        <v>0</v>
      </c>
      <c r="J10" s="75">
        <f>SUM(J5:J8)</f>
        <v>0</v>
      </c>
      <c r="K10" s="75">
        <f>SUM(K5:K8)</f>
        <v>0</v>
      </c>
      <c r="L10" s="40"/>
    </row>
    <row r="11" spans="1:13" s="14" customFormat="1" ht="13.9">
      <c r="B11" s="42"/>
      <c r="C11" s="43"/>
      <c r="D11" s="43"/>
      <c r="E11" s="43"/>
      <c r="F11" s="42"/>
      <c r="G11" s="53"/>
      <c r="H11" s="54"/>
      <c r="I11" s="54"/>
      <c r="J11" s="54"/>
      <c r="K11" s="54"/>
      <c r="L11" s="42"/>
    </row>
    <row r="12" spans="1:13" ht="47.25" customHeight="1">
      <c r="B12" s="70" t="s">
        <v>172</v>
      </c>
      <c r="C12" s="57" t="s">
        <v>7</v>
      </c>
      <c r="D12" s="56" t="s">
        <v>171</v>
      </c>
      <c r="E12" s="57" t="s">
        <v>23</v>
      </c>
      <c r="F12" s="52"/>
      <c r="G12" s="58"/>
      <c r="H12" s="56" t="s">
        <v>171</v>
      </c>
      <c r="I12" s="56" t="s">
        <v>187</v>
      </c>
      <c r="J12" s="56" t="s">
        <v>188</v>
      </c>
      <c r="K12" s="56" t="s">
        <v>189</v>
      </c>
      <c r="L12" s="40"/>
    </row>
    <row r="13" spans="1:13" ht="13.9">
      <c r="B13" s="51"/>
      <c r="C13" s="57" t="s">
        <v>22</v>
      </c>
      <c r="D13" s="57" t="s">
        <v>16</v>
      </c>
      <c r="E13" s="57"/>
      <c r="F13" s="40"/>
      <c r="G13" s="59"/>
      <c r="H13" s="60" t="s">
        <v>16</v>
      </c>
      <c r="I13" s="60" t="s">
        <v>15</v>
      </c>
      <c r="J13" s="60" t="s">
        <v>14</v>
      </c>
      <c r="K13" s="60" t="s">
        <v>210</v>
      </c>
      <c r="L13" s="40"/>
    </row>
    <row r="14" spans="1:13" ht="13.5">
      <c r="A14">
        <v>1</v>
      </c>
      <c r="B14" s="27" t="s">
        <v>273</v>
      </c>
      <c r="C14" s="67">
        <f>INDEX(Prüfwert!$1:$1048576,7,MATCH(A14,Prüfwert!$1:$1,0))</f>
        <v>0</v>
      </c>
      <c r="D14" s="47">
        <f>INDEX(Prüfwert!$1:$1048576,8,MATCH(A14,Prüfwert!$1:$1,0))</f>
        <v>0</v>
      </c>
      <c r="E14" s="61" t="e">
        <f>D14/D$25</f>
        <v>#DIV/0!</v>
      </c>
      <c r="F14" s="40"/>
      <c r="G14" s="63" t="s">
        <v>175</v>
      </c>
      <c r="H14" s="64">
        <f>IF($C14&gt;0,$E14*H$10/$C14,0)</f>
        <v>0</v>
      </c>
      <c r="I14" s="64">
        <f t="shared" ref="H14:K24" si="1">IF($C14&gt;0,$E14*I$10/$C14,0)</f>
        <v>0</v>
      </c>
      <c r="J14" s="65">
        <f t="shared" si="1"/>
        <v>0</v>
      </c>
      <c r="K14" s="66">
        <f t="shared" si="1"/>
        <v>0</v>
      </c>
      <c r="L14" s="40"/>
    </row>
    <row r="15" spans="1:13" ht="13.5">
      <c r="A15">
        <v>2</v>
      </c>
      <c r="B15" s="27" t="s">
        <v>274</v>
      </c>
      <c r="C15" s="114">
        <f>INDEX(Prüfwert!$1:$1048576,7,MATCH(A15,Prüfwert!$1:$1,0))</f>
        <v>0</v>
      </c>
      <c r="D15" s="47">
        <f>INDEX(Prüfwert!$1:$1048576,8,MATCH(A15,Prüfwert!$1:$1,0))</f>
        <v>0</v>
      </c>
      <c r="E15" s="61" t="e">
        <f>D15/D$25</f>
        <v>#DIV/0!</v>
      </c>
      <c r="F15" s="40"/>
      <c r="G15" s="63" t="s">
        <v>271</v>
      </c>
      <c r="H15" s="64">
        <f t="shared" si="1"/>
        <v>0</v>
      </c>
      <c r="I15" s="64">
        <f t="shared" si="1"/>
        <v>0</v>
      </c>
      <c r="J15" s="65">
        <f t="shared" si="1"/>
        <v>0</v>
      </c>
      <c r="K15" s="66">
        <f t="shared" si="1"/>
        <v>0</v>
      </c>
      <c r="L15" s="40"/>
    </row>
    <row r="16" spans="1:13" ht="13.5">
      <c r="A16">
        <v>3</v>
      </c>
      <c r="B16" s="27" t="s">
        <v>275</v>
      </c>
      <c r="C16" s="68">
        <f>INDEX(Prüfwert!$1:$1048576,7,MATCH(A16,Prüfwert!$1:$1,0))</f>
        <v>0</v>
      </c>
      <c r="D16" s="47">
        <f>INDEX(Prüfwert!$1:$1048576,8,MATCH(A16,Prüfwert!$1:$1,0))</f>
        <v>0</v>
      </c>
      <c r="E16" s="61" t="e">
        <f t="shared" ref="E16:E23" si="2">D16/D$25</f>
        <v>#DIV/0!</v>
      </c>
      <c r="F16" s="40"/>
      <c r="G16" s="63" t="s">
        <v>200</v>
      </c>
      <c r="H16" s="64">
        <f t="shared" si="1"/>
        <v>0</v>
      </c>
      <c r="I16" s="64">
        <f t="shared" si="1"/>
        <v>0</v>
      </c>
      <c r="J16" s="65">
        <f t="shared" si="1"/>
        <v>0</v>
      </c>
      <c r="K16" s="66">
        <f t="shared" si="1"/>
        <v>0</v>
      </c>
      <c r="L16" s="40"/>
    </row>
    <row r="17" spans="1:12" ht="13.5">
      <c r="A17">
        <v>4</v>
      </c>
      <c r="B17" s="63" t="s">
        <v>331</v>
      </c>
      <c r="C17" s="68">
        <f>INDEX(Prüfwert!$1:$1048576,7,MATCH(A17,Prüfwert!$1:$1,0))</f>
        <v>0</v>
      </c>
      <c r="D17" s="47">
        <f>INDEX(Prüfwert!$1:$1048576,8,MATCH(A17,Prüfwert!$1:$1,0))</f>
        <v>0</v>
      </c>
      <c r="E17" s="61" t="e">
        <f t="shared" si="2"/>
        <v>#DIV/0!</v>
      </c>
      <c r="F17" s="40"/>
      <c r="G17" s="63" t="s">
        <v>331</v>
      </c>
      <c r="H17" s="64">
        <f t="shared" si="1"/>
        <v>0</v>
      </c>
      <c r="I17" s="64">
        <f t="shared" si="1"/>
        <v>0</v>
      </c>
      <c r="J17" s="65">
        <f t="shared" si="1"/>
        <v>0</v>
      </c>
      <c r="K17" s="66">
        <f t="shared" si="1"/>
        <v>0</v>
      </c>
      <c r="L17" s="44"/>
    </row>
    <row r="18" spans="1:12" ht="13.5">
      <c r="A18">
        <v>5</v>
      </c>
      <c r="B18" s="63" t="s">
        <v>332</v>
      </c>
      <c r="C18" s="68">
        <f>INDEX(Prüfwert!$1:$1048576,7,MATCH(A18,Prüfwert!$1:$1,0))</f>
        <v>0</v>
      </c>
      <c r="D18" s="47">
        <f>INDEX(Prüfwert!$1:$1048576,8,MATCH(A18,Prüfwert!$1:$1,0))</f>
        <v>0</v>
      </c>
      <c r="E18" s="61" t="e">
        <f t="shared" si="2"/>
        <v>#DIV/0!</v>
      </c>
      <c r="F18" s="40"/>
      <c r="G18" s="63" t="s">
        <v>332</v>
      </c>
      <c r="H18" s="64">
        <f t="shared" si="1"/>
        <v>0</v>
      </c>
      <c r="I18" s="64">
        <f t="shared" si="1"/>
        <v>0</v>
      </c>
      <c r="J18" s="65">
        <f t="shared" si="1"/>
        <v>0</v>
      </c>
      <c r="K18" s="66">
        <f t="shared" si="1"/>
        <v>0</v>
      </c>
      <c r="L18" s="44"/>
    </row>
    <row r="19" spans="1:12" ht="13.5">
      <c r="A19">
        <v>6</v>
      </c>
      <c r="B19" s="63" t="s">
        <v>333</v>
      </c>
      <c r="C19" s="68">
        <f>INDEX(Prüfwert!$1:$1048576,7,MATCH(A19,Prüfwert!$1:$1,0))</f>
        <v>0</v>
      </c>
      <c r="D19" s="47">
        <f>INDEX(Prüfwert!$1:$1048576,8,MATCH(A19,Prüfwert!$1:$1,0))</f>
        <v>0</v>
      </c>
      <c r="E19" s="61" t="e">
        <f t="shared" si="2"/>
        <v>#DIV/0!</v>
      </c>
      <c r="F19" s="40"/>
      <c r="G19" s="63" t="s">
        <v>333</v>
      </c>
      <c r="H19" s="64">
        <f t="shared" si="1"/>
        <v>0</v>
      </c>
      <c r="I19" s="64">
        <f t="shared" si="1"/>
        <v>0</v>
      </c>
      <c r="J19" s="65">
        <f t="shared" si="1"/>
        <v>0</v>
      </c>
      <c r="K19" s="66">
        <f t="shared" si="1"/>
        <v>0</v>
      </c>
      <c r="L19" s="44"/>
    </row>
    <row r="20" spans="1:12" ht="13.5">
      <c r="A20">
        <v>7</v>
      </c>
      <c r="B20" s="63" t="s">
        <v>334</v>
      </c>
      <c r="C20" s="68">
        <f>INDEX(Prüfwert!$1:$1048576,7,MATCH(A20,Prüfwert!$1:$1,0))</f>
        <v>0</v>
      </c>
      <c r="D20" s="47">
        <f>INDEX(Prüfwert!$1:$1048576,8,MATCH(A20,Prüfwert!$1:$1,0))</f>
        <v>0</v>
      </c>
      <c r="E20" s="61" t="e">
        <f>D20/D$25</f>
        <v>#DIV/0!</v>
      </c>
      <c r="F20" s="40"/>
      <c r="G20" s="63" t="s">
        <v>334</v>
      </c>
      <c r="H20" s="64">
        <f t="shared" si="1"/>
        <v>0</v>
      </c>
      <c r="I20" s="64">
        <f t="shared" si="1"/>
        <v>0</v>
      </c>
      <c r="J20" s="65">
        <f t="shared" si="1"/>
        <v>0</v>
      </c>
      <c r="K20" s="66">
        <f t="shared" si="1"/>
        <v>0</v>
      </c>
      <c r="L20" s="40"/>
    </row>
    <row r="21" spans="1:12" ht="13.5">
      <c r="A21">
        <v>8</v>
      </c>
      <c r="B21" s="63" t="s">
        <v>335</v>
      </c>
      <c r="C21" s="68">
        <f>INDEX(Prüfwert!$1:$1048576,7,MATCH(A21,Prüfwert!$1:$1,0))</f>
        <v>0</v>
      </c>
      <c r="D21" s="47">
        <f>INDEX(Prüfwert!$1:$1048576,8,MATCH(A21,Prüfwert!$1:$1,0))</f>
        <v>0</v>
      </c>
      <c r="E21" s="61" t="e">
        <f t="shared" si="2"/>
        <v>#DIV/0!</v>
      </c>
      <c r="F21" s="40"/>
      <c r="G21" s="63" t="s">
        <v>335</v>
      </c>
      <c r="H21" s="64">
        <f t="shared" si="1"/>
        <v>0</v>
      </c>
      <c r="I21" s="64">
        <f t="shared" si="1"/>
        <v>0</v>
      </c>
      <c r="J21" s="65">
        <f t="shared" si="1"/>
        <v>0</v>
      </c>
      <c r="K21" s="66">
        <f t="shared" si="1"/>
        <v>0</v>
      </c>
      <c r="L21" s="40"/>
    </row>
    <row r="22" spans="1:12" ht="13.5">
      <c r="A22">
        <v>9</v>
      </c>
      <c r="B22" s="63" t="s">
        <v>336</v>
      </c>
      <c r="C22" s="68">
        <f>INDEX(Prüfwert!$1:$1048576,7,MATCH(A22,Prüfwert!$1:$1,0))</f>
        <v>0</v>
      </c>
      <c r="D22" s="47">
        <f>INDEX(Prüfwert!$1:$1048576,8,MATCH(A22,Prüfwert!$1:$1,0))</f>
        <v>0</v>
      </c>
      <c r="E22" s="61" t="e">
        <f t="shared" si="2"/>
        <v>#DIV/0!</v>
      </c>
      <c r="F22" s="40"/>
      <c r="G22" s="63" t="s">
        <v>336</v>
      </c>
      <c r="H22" s="64">
        <f t="shared" si="1"/>
        <v>0</v>
      </c>
      <c r="I22" s="64">
        <f t="shared" si="1"/>
        <v>0</v>
      </c>
      <c r="J22" s="65">
        <f t="shared" si="1"/>
        <v>0</v>
      </c>
      <c r="K22" s="66">
        <f t="shared" si="1"/>
        <v>0</v>
      </c>
      <c r="L22" s="40"/>
    </row>
    <row r="23" spans="1:12" ht="13.5">
      <c r="A23">
        <v>10</v>
      </c>
      <c r="B23" s="63" t="s">
        <v>337</v>
      </c>
      <c r="C23" s="68">
        <f>INDEX(Prüfwert!$1:$1048576,7,MATCH(A23,Prüfwert!$1:$1,0))</f>
        <v>0</v>
      </c>
      <c r="D23" s="47">
        <f>INDEX(Prüfwert!$1:$1048576,8,MATCH(A23,Prüfwert!$1:$1,0))</f>
        <v>0</v>
      </c>
      <c r="E23" s="61" t="e">
        <f t="shared" si="2"/>
        <v>#DIV/0!</v>
      </c>
      <c r="F23" s="40"/>
      <c r="G23" s="63" t="s">
        <v>337</v>
      </c>
      <c r="H23" s="64">
        <f t="shared" si="1"/>
        <v>0</v>
      </c>
      <c r="I23" s="64">
        <f t="shared" si="1"/>
        <v>0</v>
      </c>
      <c r="J23" s="65">
        <f t="shared" si="1"/>
        <v>0</v>
      </c>
      <c r="K23" s="66">
        <f t="shared" si="1"/>
        <v>0</v>
      </c>
      <c r="L23" s="42"/>
    </row>
    <row r="24" spans="1:12" ht="13.5">
      <c r="A24">
        <v>11</v>
      </c>
      <c r="B24" s="63" t="s">
        <v>338</v>
      </c>
      <c r="C24" s="68">
        <f>INDEX(Prüfwert!$1:$1048576,7,MATCH(A24,Prüfwert!$1:$1,0))</f>
        <v>0</v>
      </c>
      <c r="D24" s="47">
        <f>INDEX(Prüfwert!$1:$1048576,8,MATCH(A24,Prüfwert!$1:$1,0))</f>
        <v>0</v>
      </c>
      <c r="E24" s="61" t="e">
        <f>D24/D$25</f>
        <v>#DIV/0!</v>
      </c>
      <c r="F24" s="40"/>
      <c r="G24" s="63" t="s">
        <v>338</v>
      </c>
      <c r="H24" s="64">
        <f t="shared" si="1"/>
        <v>0</v>
      </c>
      <c r="I24" s="64">
        <f t="shared" si="1"/>
        <v>0</v>
      </c>
      <c r="J24" s="65">
        <f t="shared" si="1"/>
        <v>0</v>
      </c>
      <c r="K24" s="66">
        <f t="shared" si="1"/>
        <v>0</v>
      </c>
      <c r="L24" s="45"/>
    </row>
    <row r="25" spans="1:12" ht="13.9">
      <c r="B25" s="71" t="s">
        <v>7</v>
      </c>
      <c r="C25" s="74"/>
      <c r="D25" s="75">
        <f>SUM(D14:D24)</f>
        <v>0</v>
      </c>
      <c r="E25" s="73" t="e">
        <f>SUM(E14:E24)</f>
        <v>#DIV/0!</v>
      </c>
      <c r="F25" s="40"/>
      <c r="G25" s="41"/>
      <c r="H25" s="40"/>
      <c r="I25" s="40"/>
      <c r="J25" s="40"/>
      <c r="K25" s="40"/>
      <c r="L25" s="40"/>
    </row>
    <row r="26" spans="1:12" ht="13.5">
      <c r="B26" s="40"/>
      <c r="C26" s="40"/>
      <c r="D26" s="40"/>
      <c r="E26" s="40"/>
      <c r="F26" s="40"/>
      <c r="G26" s="41"/>
      <c r="H26" s="40"/>
      <c r="I26" s="40"/>
      <c r="J26" s="40"/>
      <c r="K26" s="40"/>
      <c r="L26" s="40"/>
    </row>
    <row r="27" spans="1:12" ht="13.5">
      <c r="B27" s="40"/>
      <c r="C27" s="40"/>
      <c r="D27" s="40"/>
      <c r="E27" s="40"/>
      <c r="F27" s="40"/>
      <c r="G27" s="41"/>
      <c r="H27" s="40"/>
      <c r="I27" s="40"/>
      <c r="J27" s="40"/>
      <c r="K27" s="40"/>
      <c r="L27" s="40"/>
    </row>
    <row r="28" spans="1:12" ht="13.5">
      <c r="B28" s="40"/>
      <c r="C28" s="40"/>
      <c r="D28" s="40"/>
      <c r="E28" s="40"/>
      <c r="F28" s="40"/>
      <c r="G28" s="41"/>
      <c r="H28" s="40"/>
      <c r="I28" s="40"/>
      <c r="J28" s="40"/>
      <c r="K28" s="40"/>
      <c r="L28" s="40"/>
    </row>
    <row r="30" spans="1:12">
      <c r="C30" s="69"/>
    </row>
  </sheetData>
  <sheetProtection password="862F" sheet="1" objects="1" scenarios="1"/>
  <phoneticPr fontId="0" type="noConversion"/>
  <printOptions horizontalCentered="1" verticalCentered="1"/>
  <pageMargins left="0.25" right="0.25" top="0.75" bottom="0.75" header="0.3" footer="0.3"/>
  <pageSetup paperSize="9" scale="87" orientation="landscape"/>
  <headerFooter alignWithMargins="0">
    <oddHeader>&amp;LUmweltdeklaration&amp;C&amp;D&amp;Rnaturemade Star Energieprodukte</oddHeader>
    <oddFooter>&amp;L(c) 2010 ESU-services GmbH&amp;Cwww.esu-services.ch&amp;R&amp;F</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V250"/>
  <sheetViews>
    <sheetView workbookViewId="0">
      <pane xSplit="2" ySplit="6" topLeftCell="N7" activePane="bottomRight" state="frozen"/>
      <selection activeCell="A75" sqref="A75:IV75"/>
      <selection pane="topRight" activeCell="A75" sqref="A75:IV75"/>
      <selection pane="bottomLeft" activeCell="A75" sqref="A75:IV75"/>
      <selection pane="bottomRight" activeCell="A69" sqref="A69"/>
    </sheetView>
  </sheetViews>
  <sheetFormatPr baseColWidth="10" defaultColWidth="10.86328125" defaultRowHeight="13.5" outlineLevelRow="1"/>
  <cols>
    <col min="1" max="1" width="22.46484375" style="80" customWidth="1"/>
    <col min="2" max="2" width="25" style="80" customWidth="1"/>
    <col min="3" max="3" width="17.86328125" style="80" customWidth="1"/>
    <col min="4" max="4" width="14.6640625" style="80" customWidth="1"/>
    <col min="5" max="5" width="14.46484375" style="80" customWidth="1"/>
    <col min="6" max="7" width="14.6640625" style="80" customWidth="1"/>
    <col min="8" max="8" width="17.46484375" style="80" customWidth="1"/>
    <col min="9" max="9" width="18.46484375" style="80" customWidth="1"/>
    <col min="10" max="10" width="15.1328125" style="80" customWidth="1"/>
    <col min="11" max="11" width="14.86328125" style="80" customWidth="1"/>
    <col min="12" max="12" width="16" style="80" customWidth="1"/>
    <col min="13" max="13" width="16.86328125" style="80" customWidth="1"/>
    <col min="14" max="14" width="14.86328125" style="80" customWidth="1"/>
    <col min="15" max="15" width="15.46484375" style="80" customWidth="1"/>
    <col min="16" max="16" width="14" style="80" customWidth="1"/>
    <col min="17" max="17" width="14.86328125" style="80" customWidth="1"/>
    <col min="18" max="20" width="12.46484375" style="80" customWidth="1"/>
    <col min="21" max="21" width="13" style="80" customWidth="1"/>
    <col min="22" max="22" width="13.33203125" style="80" customWidth="1"/>
    <col min="23" max="23" width="11.33203125" style="80" customWidth="1"/>
    <col min="24" max="24" width="13.46484375" style="80" customWidth="1"/>
    <col min="25" max="25" width="14.46484375" style="80" customWidth="1"/>
    <col min="26" max="26" width="13.46484375" style="80" customWidth="1"/>
    <col min="27" max="27" width="14.33203125" style="80" customWidth="1"/>
    <col min="28" max="28" width="11.46484375" style="80" customWidth="1"/>
    <col min="29" max="32" width="12.46484375" style="80" customWidth="1"/>
    <col min="33" max="33" width="11.46484375" style="80" customWidth="1"/>
    <col min="34" max="34" width="13.46484375" style="80" bestFit="1" customWidth="1"/>
    <col min="35" max="35" width="15" style="80" bestFit="1" customWidth="1"/>
    <col min="36" max="36" width="15" style="80" customWidth="1"/>
    <col min="37" max="37" width="11.46484375" style="80" customWidth="1"/>
    <col min="38" max="38" width="13.46484375" style="80" bestFit="1" customWidth="1"/>
    <col min="39" max="39" width="17.46484375" style="80" customWidth="1"/>
    <col min="40" max="42" width="11.46484375" style="80" bestFit="1" customWidth="1"/>
    <col min="43" max="43" width="13.86328125" style="80" bestFit="1" customWidth="1"/>
    <col min="44" max="44" width="11.46484375" style="80" bestFit="1" customWidth="1"/>
    <col min="45" max="46" width="10.86328125" style="80"/>
    <col min="47" max="47" width="31.6640625" style="80" customWidth="1"/>
    <col min="48" max="48" width="28.1328125" style="80" customWidth="1"/>
    <col min="49" max="16384" width="10.86328125" style="80"/>
  </cols>
  <sheetData>
    <row r="1" spans="1:45" s="76" customFormat="1" outlineLevel="1">
      <c r="A1" s="76" t="s">
        <v>190</v>
      </c>
      <c r="C1" s="77">
        <v>39</v>
      </c>
      <c r="D1" s="77">
        <v>37</v>
      </c>
      <c r="E1" s="77">
        <v>12</v>
      </c>
      <c r="F1" s="77">
        <v>12</v>
      </c>
      <c r="G1" s="77">
        <v>12</v>
      </c>
      <c r="H1" s="77"/>
      <c r="I1" s="77"/>
      <c r="J1" s="77">
        <v>12</v>
      </c>
      <c r="K1" s="77">
        <v>12</v>
      </c>
      <c r="L1" s="77">
        <v>12</v>
      </c>
      <c r="M1" s="77">
        <v>12</v>
      </c>
      <c r="N1" s="77">
        <v>37</v>
      </c>
      <c r="O1" s="77">
        <v>37</v>
      </c>
      <c r="P1" s="77">
        <v>38</v>
      </c>
      <c r="Q1" s="77">
        <v>13</v>
      </c>
      <c r="R1" s="77">
        <v>17</v>
      </c>
      <c r="S1" s="77">
        <v>47</v>
      </c>
      <c r="T1" s="77">
        <v>48</v>
      </c>
      <c r="U1" s="77">
        <v>16</v>
      </c>
      <c r="V1" s="77">
        <v>18</v>
      </c>
      <c r="W1" s="77">
        <v>21</v>
      </c>
      <c r="X1" s="77">
        <v>43</v>
      </c>
      <c r="Y1" s="77">
        <v>15</v>
      </c>
      <c r="Z1" s="77">
        <v>23</v>
      </c>
      <c r="AA1" s="77">
        <v>14</v>
      </c>
      <c r="AB1" s="77">
        <v>19</v>
      </c>
      <c r="AC1" s="77">
        <v>20</v>
      </c>
      <c r="AD1" s="77">
        <v>45</v>
      </c>
      <c r="AE1" s="77">
        <v>46</v>
      </c>
      <c r="AF1" s="77">
        <v>22</v>
      </c>
      <c r="AG1" s="77"/>
      <c r="AH1" s="77"/>
      <c r="AI1" s="78">
        <v>40</v>
      </c>
      <c r="AJ1" s="78">
        <v>12</v>
      </c>
      <c r="AK1" s="77">
        <v>52</v>
      </c>
      <c r="AL1" s="77">
        <v>53</v>
      </c>
      <c r="AM1" s="77">
        <v>12</v>
      </c>
      <c r="AN1" s="77">
        <v>27</v>
      </c>
      <c r="AO1" s="77">
        <v>28</v>
      </c>
      <c r="AP1" s="77">
        <v>29</v>
      </c>
      <c r="AQ1" s="77">
        <v>51</v>
      </c>
      <c r="AR1" s="77">
        <v>26</v>
      </c>
      <c r="AS1" s="77">
        <v>26</v>
      </c>
    </row>
    <row r="2" spans="1:45" s="76" customFormat="1" outlineLevel="1">
      <c r="A2" s="76" t="s">
        <v>185</v>
      </c>
      <c r="C2" s="77"/>
      <c r="D2" s="77">
        <v>38</v>
      </c>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8"/>
      <c r="AJ2" s="78">
        <v>44</v>
      </c>
      <c r="AK2" s="77"/>
      <c r="AL2" s="77"/>
      <c r="AM2" s="77"/>
      <c r="AN2" s="77"/>
      <c r="AO2" s="77"/>
      <c r="AP2" s="77"/>
      <c r="AQ2" s="77"/>
      <c r="AR2" s="77"/>
      <c r="AS2" s="77"/>
    </row>
    <row r="3" spans="1:45" s="83" customFormat="1" ht="94.5">
      <c r="C3" s="87" t="s">
        <v>92</v>
      </c>
      <c r="D3" s="87" t="s">
        <v>93</v>
      </c>
      <c r="E3" s="87" t="s">
        <v>94</v>
      </c>
      <c r="F3" s="87" t="s">
        <v>95</v>
      </c>
      <c r="G3" s="87" t="s">
        <v>315</v>
      </c>
      <c r="H3" s="87" t="s">
        <v>96</v>
      </c>
      <c r="I3" s="87" t="s">
        <v>97</v>
      </c>
      <c r="J3" s="87" t="s">
        <v>98</v>
      </c>
      <c r="K3" s="87" t="s">
        <v>269</v>
      </c>
      <c r="L3" s="87" t="s">
        <v>99</v>
      </c>
      <c r="M3" s="87" t="s">
        <v>100</v>
      </c>
      <c r="N3" s="87" t="s">
        <v>101</v>
      </c>
      <c r="O3" s="87" t="s">
        <v>267</v>
      </c>
      <c r="P3" s="87" t="s">
        <v>102</v>
      </c>
      <c r="Q3" s="87" t="s">
        <v>103</v>
      </c>
      <c r="R3" s="87" t="s">
        <v>104</v>
      </c>
      <c r="S3" s="87" t="s">
        <v>316</v>
      </c>
      <c r="T3" s="87" t="s">
        <v>317</v>
      </c>
      <c r="U3" s="87" t="s">
        <v>105</v>
      </c>
      <c r="V3" s="87" t="s">
        <v>106</v>
      </c>
      <c r="W3" s="87" t="s">
        <v>107</v>
      </c>
      <c r="X3" s="87" t="s">
        <v>108</v>
      </c>
      <c r="Y3" s="87" t="s">
        <v>109</v>
      </c>
      <c r="Z3" s="87" t="s">
        <v>110</v>
      </c>
      <c r="AA3" s="87" t="s">
        <v>111</v>
      </c>
      <c r="AB3" s="87" t="s">
        <v>112</v>
      </c>
      <c r="AC3" s="87" t="s">
        <v>113</v>
      </c>
      <c r="AD3" s="87" t="s">
        <v>287</v>
      </c>
      <c r="AE3" s="87" t="s">
        <v>288</v>
      </c>
      <c r="AF3" s="87" t="s">
        <v>114</v>
      </c>
      <c r="AG3" s="87" t="s">
        <v>64</v>
      </c>
      <c r="AH3" s="87" t="s">
        <v>2</v>
      </c>
      <c r="AI3" s="87" t="s">
        <v>346</v>
      </c>
      <c r="AJ3" s="87" t="s">
        <v>347</v>
      </c>
      <c r="AK3" s="87" t="s">
        <v>64</v>
      </c>
      <c r="AL3" s="87" t="s">
        <v>2</v>
      </c>
      <c r="AM3" s="87" t="s">
        <v>218</v>
      </c>
      <c r="AN3" s="87" t="s">
        <v>221</v>
      </c>
      <c r="AO3" s="87" t="s">
        <v>222</v>
      </c>
      <c r="AP3" s="87" t="s">
        <v>223</v>
      </c>
      <c r="AQ3" s="87" t="s">
        <v>224</v>
      </c>
      <c r="AR3" s="87" t="s">
        <v>225</v>
      </c>
      <c r="AS3" s="87" t="s">
        <v>226</v>
      </c>
    </row>
    <row r="4" spans="1:45" s="83" customFormat="1">
      <c r="A4" s="83" t="s">
        <v>5</v>
      </c>
      <c r="C4" s="84">
        <f>INDEX(Eingabe!$1:$1048576,MATCH(C$1,Eingabe!$A:$A,0),3)</f>
        <v>0</v>
      </c>
      <c r="D4" s="83">
        <f>INDEX(Eingabe!$1:$1048576,MATCH(D$1,Eingabe!$A:$A,0),3)</f>
        <v>0</v>
      </c>
      <c r="E4" s="83">
        <f>INDEX(Eingabe!$1:$1048576,MATCH(E$1,Eingabe!$A:$A,0),3)</f>
        <v>0</v>
      </c>
      <c r="F4" s="83">
        <f>INDEX(Eingabe!$1:$1048576,MATCH(F$1,Eingabe!$A:$A,0),3)</f>
        <v>0</v>
      </c>
      <c r="G4" s="83">
        <f>INDEX(Eingabe!$1:$1048576,MATCH(G$1,Eingabe!$A:$A,0),3)</f>
        <v>0</v>
      </c>
      <c r="J4" s="83">
        <f>INDEX(Eingabe!$1:$1048576,MATCH(J$1,Eingabe!$A:$A,0),3)</f>
        <v>0</v>
      </c>
      <c r="K4" s="83">
        <f>INDEX(Eingabe!$1:$1048576,MATCH(K$1,Eingabe!$A:$A,0),3)</f>
        <v>0</v>
      </c>
      <c r="L4" s="83">
        <f>INDEX(Eingabe!$1:$1048576,MATCH(L$1,Eingabe!$A:$A,0),3)</f>
        <v>0</v>
      </c>
      <c r="M4" s="83">
        <f>INDEX(Eingabe!$1:$1048576,MATCH(M$1,Eingabe!$A:$A,0),3)</f>
        <v>0</v>
      </c>
      <c r="N4" s="83">
        <f>INDEX(Eingabe!$1:$1048576,MATCH(N$1,Eingabe!$A:$A,0),3)</f>
        <v>0</v>
      </c>
      <c r="O4" s="83">
        <f>INDEX(Eingabe!$1:$1048576,MATCH(O$1,Eingabe!$A:$A,0),3)</f>
        <v>0</v>
      </c>
      <c r="P4" s="83">
        <f>INDEX(Eingabe!$1:$1048576,MATCH(P$1,Eingabe!$A:$A,0),3)</f>
        <v>0</v>
      </c>
      <c r="Q4" s="83">
        <f>INDEX(Eingabe!$1:$1048576,MATCH(Q$1,Eingabe!$A:$A,0),3)</f>
        <v>0</v>
      </c>
      <c r="R4" s="83">
        <f>INDEX(Eingabe!$1:$1048576,MATCH(R$1,Eingabe!$A:$A,0),3)</f>
        <v>0</v>
      </c>
      <c r="S4" s="83">
        <f>INDEX(Eingabe!$1:$1048576,MATCH(S$1,Eingabe!$A:$A,0),3)</f>
        <v>0</v>
      </c>
      <c r="T4" s="83">
        <f>INDEX(Eingabe!$1:$1048576,MATCH(T$1,Eingabe!$A:$A,0),3)</f>
        <v>0</v>
      </c>
      <c r="U4" s="83">
        <f>INDEX(Eingabe!$1:$1048576,MATCH(U$1,Eingabe!$A:$A,0),3)</f>
        <v>0</v>
      </c>
      <c r="V4" s="83">
        <f>INDEX(Eingabe!$1:$1048576,MATCH(V$1,Eingabe!$A:$A,0),3)</f>
        <v>0</v>
      </c>
      <c r="W4" s="83">
        <f>INDEX(Eingabe!$1:$1048576,MATCH(W$1,Eingabe!$A:$A,0),3)</f>
        <v>0</v>
      </c>
      <c r="X4" s="83">
        <f>INDEX(Eingabe!$1:$1048576,MATCH(X$1,Eingabe!$A:$A,0),3)</f>
        <v>0</v>
      </c>
      <c r="Y4" s="83">
        <f>INDEX(Eingabe!$1:$1048576,MATCH(Y$1,Eingabe!$A:$A,0),3)</f>
        <v>0</v>
      </c>
      <c r="Z4" s="83">
        <f>INDEX(Eingabe!$1:$1048576,MATCH(Z$1,Eingabe!$A:$A,0),3)</f>
        <v>0</v>
      </c>
      <c r="AA4" s="83">
        <f>INDEX(Eingabe!$1:$1048576,MATCH(AA$1,Eingabe!$A:$A,0),3)</f>
        <v>0</v>
      </c>
      <c r="AB4" s="83">
        <f>INDEX(Eingabe!$1:$1048576,MATCH(AB$1,Eingabe!$A:$A,0),3)</f>
        <v>0</v>
      </c>
      <c r="AC4" s="83">
        <f>INDEX(Eingabe!$1:$1048576,MATCH(AC$1,Eingabe!$A:$A,0),3)</f>
        <v>0</v>
      </c>
      <c r="AD4" s="83">
        <f>INDEX(Eingabe!$1:$1048576,MATCH(AD$1,Eingabe!$A:$A,0),3)</f>
        <v>0</v>
      </c>
      <c r="AE4" s="83">
        <f>INDEX(Eingabe!$1:$1048576,MATCH(AE$1,Eingabe!$A:$A,0),3)</f>
        <v>0</v>
      </c>
      <c r="AF4" s="83">
        <f>INDEX(Eingabe!$1:$1048576,MATCH(AF$1,Eingabe!$A:$A,0),3)</f>
        <v>0</v>
      </c>
      <c r="AI4" s="83">
        <f>INDEX(Eingabe!$1:$1048576,MATCH(AI$1,Eingabe!$A:$A,0),3)</f>
        <v>0</v>
      </c>
      <c r="AJ4" s="83">
        <f>INDEX(Eingabe!$1:$1048576,MATCH(AJ$1,Eingabe!$A:$A,0),3)</f>
        <v>0</v>
      </c>
      <c r="AK4" s="83">
        <f>INDEX(Eingabe!$1:$1048576,MATCH(AK$1,Eingabe!$A:$A,0),3)</f>
        <v>0</v>
      </c>
      <c r="AL4" s="83">
        <f>INDEX(Eingabe!$1:$1048576,MATCH(AL$1,Eingabe!$A:$A,0),3)</f>
        <v>0</v>
      </c>
      <c r="AM4" s="83">
        <f>INDEX(Eingabe!$1:$1048576,MATCH(AM$1,Eingabe!$A:$A,0),3)</f>
        <v>0</v>
      </c>
      <c r="AN4" s="83">
        <f>INDEX(Eingabe!$1:$1048576,MATCH(AN$1,Eingabe!$A:$A,0),3)</f>
        <v>0</v>
      </c>
      <c r="AO4" s="83">
        <f>INDEX(Eingabe!$1:$1048576,MATCH(AO$1,Eingabe!$A:$A,0),3)</f>
        <v>0</v>
      </c>
      <c r="AP4" s="83">
        <f>INDEX(Eingabe!$1:$1048576,MATCH(AP$1,Eingabe!$A:$A,0),3)</f>
        <v>0</v>
      </c>
      <c r="AQ4" s="83">
        <f>INDEX(Eingabe!$1:$1048576,MATCH(AQ$1,Eingabe!$A:$A,0),3)</f>
        <v>0</v>
      </c>
      <c r="AR4" s="83">
        <f>INDEX(Eingabe!$1:$1048576,MATCH(AR$1,Eingabe!$A:$A,0),3)</f>
        <v>0</v>
      </c>
      <c r="AS4" s="83">
        <f>INDEX(Eingabe!$1:$1048576,MATCH(AS$1,Eingabe!$A:$A,0),3)</f>
        <v>0</v>
      </c>
    </row>
    <row r="5" spans="1:45" s="83" customFormat="1">
      <c r="A5" s="83" t="s">
        <v>6</v>
      </c>
      <c r="C5" s="85">
        <f>INDEX(Eingabe!$1:$1048576,MATCH(C$1,Eingabe!$A:$A,0),4)</f>
        <v>0</v>
      </c>
      <c r="D5" s="85">
        <f>INDEX(Eingabe!$1:$1048576,MATCH(D$2,Eingabe!$A:$A,0),3)</f>
        <v>0</v>
      </c>
      <c r="E5" s="85">
        <f>INDEX(Eingabe!$1:$1048576,MATCH(E$1,Eingabe!$A:$A,0),4)</f>
        <v>0</v>
      </c>
      <c r="F5" s="85">
        <f>INDEX(Eingabe!$1:$1048576,MATCH(F$1,Eingabe!$A:$A,0),4)</f>
        <v>0</v>
      </c>
      <c r="G5" s="85">
        <f>INDEX(Eingabe!$1:$1048576,MATCH(G$1,Eingabe!$A:$A,0),4)</f>
        <v>0</v>
      </c>
      <c r="H5" s="85"/>
      <c r="I5" s="85"/>
      <c r="J5" s="85">
        <f>INDEX(Eingabe!$1:$1048576,MATCH(J$1,Eingabe!$A:$A,0),4)</f>
        <v>0</v>
      </c>
      <c r="K5" s="85"/>
      <c r="L5" s="85">
        <f>INDEX(Eingabe!$1:$1048576,MATCH(L$1,Eingabe!$A:$A,0),4)</f>
        <v>0</v>
      </c>
      <c r="M5" s="85">
        <f>INDEX(Eingabe!$1:$1048576,MATCH(M$1,Eingabe!$A:$A,0),4)</f>
        <v>0</v>
      </c>
      <c r="N5" s="85">
        <f>INDEX(Eingabe!$1:$1048576,MATCH(N$1,Eingabe!$A:$A,0),4)</f>
        <v>0</v>
      </c>
      <c r="O5" s="85">
        <f>INDEX(Eingabe!$1:$1048576,MATCH(O$1,Eingabe!$A:$A,0),4)</f>
        <v>0</v>
      </c>
      <c r="P5" s="85">
        <f>INDEX(Eingabe!$1:$1048576,MATCH(P$1,Eingabe!$A:$A,0),4)</f>
        <v>0</v>
      </c>
      <c r="Q5" s="85">
        <f>INDEX(Eingabe!$1:$1048576,MATCH(Q$1,Eingabe!$A:$A,0),4)</f>
        <v>0</v>
      </c>
      <c r="R5" s="85">
        <f>INDEX(Eingabe!$1:$1048576,MATCH(R$1,Eingabe!$A:$A,0),4)</f>
        <v>0</v>
      </c>
      <c r="S5" s="85">
        <f>INDEX(Eingabe!$1:$1048576,MATCH(S$1,Eingabe!$A:$A,0),4)</f>
        <v>0</v>
      </c>
      <c r="T5" s="85">
        <f>INDEX(Eingabe!$1:$1048576,MATCH(T$1,Eingabe!$A:$A,0),4)</f>
        <v>0</v>
      </c>
      <c r="U5" s="85">
        <f>INDEX(Eingabe!$1:$1048576,MATCH(U$1,Eingabe!$A:$A,0),4)</f>
        <v>0</v>
      </c>
      <c r="V5" s="85">
        <f>INDEX(Eingabe!$1:$1048576,MATCH(V$1,Eingabe!$A:$A,0),4)</f>
        <v>0</v>
      </c>
      <c r="W5" s="85">
        <f>INDEX(Eingabe!$1:$1048576,MATCH(W$1,Eingabe!$A:$A,0),4)</f>
        <v>0</v>
      </c>
      <c r="X5" s="85">
        <f>INDEX(Eingabe!$1:$1048576,MATCH(X$1,Eingabe!$A:$A,0),4)</f>
        <v>0</v>
      </c>
      <c r="Y5" s="85">
        <f>INDEX(Eingabe!$1:$1048576,MATCH(Y$1,Eingabe!$A:$A,0),4)</f>
        <v>0</v>
      </c>
      <c r="Z5" s="85">
        <f>INDEX(Eingabe!$1:$1048576,MATCH(Z$1,Eingabe!$A:$A,0),4)</f>
        <v>0</v>
      </c>
      <c r="AA5" s="85"/>
      <c r="AB5" s="85">
        <f>INDEX(Eingabe!$1:$1048576,MATCH(AB$1,Eingabe!$A:$A,0),4)</f>
        <v>0</v>
      </c>
      <c r="AC5" s="85">
        <f>INDEX(Eingabe!$1:$1048576,MATCH(AC$1,Eingabe!$A:$A,0),4)</f>
        <v>0</v>
      </c>
      <c r="AD5" s="85"/>
      <c r="AE5" s="85"/>
      <c r="AF5" s="85">
        <f>INDEX(Eingabe!$1:$1048576,MATCH(AF$1,Eingabe!$A:$A,0),4)</f>
        <v>0</v>
      </c>
      <c r="AG5" s="85"/>
      <c r="AH5" s="85"/>
      <c r="AI5" s="85"/>
      <c r="AJ5" s="83">
        <f>INDEX(Eingabe!$1:$1048576,MATCH(AJ$2,Eingabe!$A:$A,0),3)</f>
        <v>0</v>
      </c>
      <c r="AK5" s="83">
        <f>INDEX(Eingabe!$1:$1048576,MATCH(AK$1,Eingabe!$A:$A,0),4)</f>
        <v>0</v>
      </c>
      <c r="AL5" s="83">
        <f>INDEX(Eingabe!$1:$1048576,MATCH(AL$1,Eingabe!$A:$A,0),4)</f>
        <v>0</v>
      </c>
      <c r="AM5" s="85" t="e">
        <f>AU65/Ergebnis!$I$24</f>
        <v>#DIV/0!</v>
      </c>
      <c r="AN5" s="85">
        <f>INDEX(Eingabe!$1:$1048576,MATCH(AN$1,Eingabe!$A:$A,0),4)</f>
        <v>0</v>
      </c>
      <c r="AO5" s="85">
        <f>INDEX(Eingabe!$1:$1048576,MATCH(AO$1,Eingabe!$A:$A,0),4)</f>
        <v>0</v>
      </c>
      <c r="AP5" s="85">
        <f>INDEX(Eingabe!$1:$1048576,MATCH(AP$1,Eingabe!$A:$A,0),4)</f>
        <v>0</v>
      </c>
      <c r="AQ5" s="85"/>
      <c r="AR5" s="85"/>
      <c r="AS5" s="85"/>
    </row>
    <row r="6" spans="1:45" s="83" customFormat="1">
      <c r="A6" s="88" t="s">
        <v>4</v>
      </c>
      <c r="B6" s="89"/>
      <c r="C6" s="90">
        <f>IF(Eingabe!$E$47=TRUE, C4*Eingabe!C12*1000*Ergebnis!$I$24, C4*Eingabe!C12*1000)</f>
        <v>0</v>
      </c>
      <c r="D6" s="90">
        <f>IF(Eingabe!$E$47=TRUE,(D4*Eingabe!$C$12+D5*Eingabe!$C$12)*1000*0.7*Ergebnis!$I$24,(D4*Eingabe!$C$12+D5*Eingabe!$C$12)*1000*0.7)</f>
        <v>0</v>
      </c>
      <c r="E6" s="90">
        <f>IF(Eingabe!$E$47=TRUE,IF(Eingabe!$E$9=E8,E4*Ergebnis!$I$24,0)*1000,IF(Eingabe!$E$9=E8,E4*1,0)*1000)</f>
        <v>0</v>
      </c>
      <c r="F6" s="90">
        <f>IF(Eingabe!$E$47=TRUE,IF(Eingabe!$E$9=F8,F4*Ergebnis!$I$24,0)*1000,IF(Eingabe!$E$9=F8,F4*1,0)*1000)</f>
        <v>0</v>
      </c>
      <c r="G6" s="90">
        <f>IF(Eingabe!$E$47=TRUE,IF(Eingabe!$E$9=G8,G4*Ergebnis!$I$24,0)*1000,IF(Eingabe!$E$9=G8,G4*1,0)*1000)</f>
        <v>0</v>
      </c>
      <c r="H6" s="90">
        <f>IF(Eingabe!$E$47=TRUE,IF(Eingabe!$E$8=H8,(Eingabe!C62+Eingabe!C63)*Eingabe!$C$12*Ergebnis!$I$24,0)*1000,IF(Eingabe!$E$8=H8,Eingabe!C62*Eingabe!$C$12+Eingabe!C63*Eingabe!$C$12,0)*1000)</f>
        <v>0</v>
      </c>
      <c r="I6" s="90">
        <f>IF(Eingabe!$E$47=TRUE,IF(Eingabe!$E$8=I8,(Eingabe!C60+Eingabe!C61)*Eingabe!$C$12*Ergebnis!$I$24,0)*1000,IF(Eingabe!$E$8=I8,Eingabe!C60*Eingabe!$C$12+Eingabe!C61*Eingabe!$C$12,0)*1000)</f>
        <v>0</v>
      </c>
      <c r="J6" s="90">
        <f>IF(Eingabe!$E$47=TRUE,J4*Ergebnis!$I$24*1000-SUM(Prüfwert!F7:J7),J4*1000-SUM(Prüfwert!F7:J7))</f>
        <v>0</v>
      </c>
      <c r="K6" s="90">
        <f>IF(Eingabe!$E$47=TRUE,6.5*K4*Ergebnis!$I$24*0.2,6.5*K4*0.2)</f>
        <v>0</v>
      </c>
      <c r="L6" s="90">
        <f>IF(Eingabe!$E$47=TRUE, IF(Eingabe!$E$8=L8,L4*Ergebnis!$I$24,0)*1000,IF(Eingabe!$E$8=L8,L4*1,0)*1000)</f>
        <v>0</v>
      </c>
      <c r="M6" s="90">
        <f>IF(Eingabe!$E$47=TRUE,IF(Eingabe!$E$8=M8,M4*Ergebnis!$I$24,0)*1000,IF(Eingabe!$E$8=M8,M4*1,0)*1000)</f>
        <v>0</v>
      </c>
      <c r="N6" s="90">
        <f>IF(Eingabe!$E$47=TRUE,IF(Eingabe!$E$60=N8,N4*Eingabe!$C$12*Ergebnis!$I$24,0)*1000*0.02,IF(Eingabe!$E$60=N8,N4*Eingabe!$C$12,0)*1000*0.02)</f>
        <v>0</v>
      </c>
      <c r="O6" s="90">
        <f>IF(Eingabe!$E$47=TRUE,IF(Eingabe!$E$60=O8,O4*Eingabe!$C$12*Ergebnis!$I$24,0)*1000*0.02*0.3,IF(Eingabe!$E$60=O8,O4*Eingabe!$C$12,0)*1000*0.02*0.3)</f>
        <v>0</v>
      </c>
      <c r="P6" s="90">
        <f>IF(Eingabe!$E$47=TRUE,P4*Eingabe!$C$12*Ergebnis!$I$24*1000*0.02,P4*Eingabe!$C$12*1000*0.02)</f>
        <v>0</v>
      </c>
      <c r="Q6" s="210">
        <f>IF(Eingabe!$E$47=TRUE, IF(Q4=0,0,Q5*Q4/0.5*Ergebnis!$I$24*1000),IF(Q4=0,0,Q5*Q4/0.5*1000))</f>
        <v>0</v>
      </c>
      <c r="R6" s="90">
        <f>IF(Eingabe!$E$47=TRUE,R4*1000*Ergebnis!$I$24,R4*1000)</f>
        <v>0</v>
      </c>
      <c r="S6" s="90">
        <f>IF(Eingabe!$E$47=TRUE,S4*1000*Ergebnis!$I$24,S4*1000)</f>
        <v>0</v>
      </c>
      <c r="T6" s="90">
        <f>IF(Eingabe!$E$47=TRUE,T4*1000*Ergebnis!$I$24,T4*1000)</f>
        <v>0</v>
      </c>
      <c r="U6" s="210">
        <f>IF(Eingabe!$E$47=TRUE,(U4*U5)*1000*Ergebnis!$I$24,(U4*U5)*1000)</f>
        <v>0</v>
      </c>
      <c r="V6" s="210">
        <f>IF(Eingabe!$E$47=TRUE,V4*V5*1000*Ergebnis!$I$24,V4*V5*1000)</f>
        <v>0</v>
      </c>
      <c r="W6" s="90">
        <f>IF(Eingabe!$E$47=TRUE,(W4*W5)*1000*Ergebnis!$I$24,(W4*W5)*1000)</f>
        <v>0</v>
      </c>
      <c r="X6" s="90">
        <f>IF(Eingabe!$E$47=TRUE,(X4*X5)*1000*Ergebnis!$I$24,(X4*X5)*1000)</f>
        <v>0</v>
      </c>
      <c r="Y6" s="90">
        <f>IF(Eingabe!$E$47=TRUE,(Y4*Y5)*1000*Ergebnis!$I$24,(Y4*Y5)*1000)</f>
        <v>0</v>
      </c>
      <c r="Z6" s="90">
        <f>IF(Eingabe!$E$47=TRUE,Z4*1000*Ergebnis!$I$24,Z4*1000)</f>
        <v>0</v>
      </c>
      <c r="AA6" s="90">
        <f>IF(Eingabe!$E$47=TRUE,AA4*1000*Ergebnis!$I$24,AA4*1000)</f>
        <v>0</v>
      </c>
      <c r="AB6" s="90">
        <f>IF(Eingabe!$E$47=TRUE,AB4*1000*Ergebnis!$I$24*19.5,AB4*1000*19.5)</f>
        <v>0</v>
      </c>
      <c r="AC6" s="90">
        <f>IF(Eingabe!$E$47=TRUE,(AC4*Ergebnis!$I$24),(AC4))</f>
        <v>0</v>
      </c>
      <c r="AD6" s="90">
        <f>IF(Eingabe!$E$47=TRUE,AD4*37.8*Ergebnis!$I$24,AD4*37.8)</f>
        <v>0</v>
      </c>
      <c r="AE6" s="90">
        <f>IF(Eingabe!$E$47=TRUE,AE4*0.86*Ergebnis!$I$24,AE4*0.86)</f>
        <v>0</v>
      </c>
      <c r="AF6" s="90">
        <f>IF(Eingabe!$E$47=TRUE,AF4*Ergebnis!$I$24,AF4)</f>
        <v>0</v>
      </c>
      <c r="AG6" s="90">
        <f>($Q$6+$R$6+$S$6+$T$6+$U$6+$V$6+$W$6+$X$6+$Y$6+$AA$6+$AC$6)/1000*600</f>
        <v>0</v>
      </c>
      <c r="AH6" s="90">
        <f>($Q$6+$R$6+$S$6+$T$6+$U$6+$V$6+$W$6+$X$6+$Y$6+$AA$6+$AC$6)/1000*100</f>
        <v>0</v>
      </c>
      <c r="AI6" s="90">
        <f>IF(Eingabe!$E$47=TRUE,AI4*Eingabe!C12*1000*Ergebnis!$I$24,AI4*Eingabe!C12*1000)</f>
        <v>0</v>
      </c>
      <c r="AJ6" s="90">
        <f>IF(Eingabe!$E$47=TRUE,IF(AJ4=0,0,AJ5/(AJ4*Ergebnis!$I$24)/0.00542286213268479),IF(AJ4=0,0,AJ5/AJ4/0.00542286213268479))</f>
        <v>0</v>
      </c>
      <c r="AK6" s="90">
        <f>IF(Eingabe!$E$47=TRUE, AK4*Ergebnis!$I$24*AK5,AK4*AK5)</f>
        <v>0</v>
      </c>
      <c r="AL6" s="90">
        <f>IF(Eingabe!$E$47=TRUE, AL4*Ergebnis!$I$24*AL5,AL4*AL5)</f>
        <v>0</v>
      </c>
      <c r="AM6" s="147">
        <f>IF(Eingabe!E47=TRUE,AV65/AU65*AM5*AM4*Ergebnis!$I$24*1000+AE6*42.6*0.074+AD6*0.056+AC6/0.952*24.48*0.0654,AM4*1000*AV65+AE6*42.6*0.074+AD6*0.056+AC6/0.952*24.48*0.0654)</f>
        <v>0</v>
      </c>
      <c r="AN6" s="88">
        <f>IF(Eingabe!$E$47=TRUE,AN4*Ergebnis!$I$24,AN4)</f>
        <v>0</v>
      </c>
      <c r="AO6" s="88">
        <f>IF(Eingabe!$E$47=TRUE,AO4*Ergebnis!$I$24,AO4)</f>
        <v>0</v>
      </c>
      <c r="AP6" s="88">
        <f>IF(Eingabe!$E$47=TRUE,AP4*Ergebnis!$I$24,AP4)</f>
        <v>0</v>
      </c>
      <c r="AQ6" s="88">
        <f>IF(Eingabe!$E$47=TRUE,IF(AQ4&gt;0,AQ4*Ergebnis!$I$24,5.3*10^-7*Eingabe!C12*Ergebnis!$I$24*1000),IF(AQ4&gt;0,AQ4,5.3*10^-7*Eingabe!C12*1000))</f>
        <v>0</v>
      </c>
      <c r="AR6" s="88">
        <f>IF(Eingabe!$E$47=TRUE,IF(AR4&gt;0,AR4*0.995*Ergebnis!$I$24,0.00000597*Eingabe!C12*Ergebnis!$I$24*1000),IF(AR4&gt;0,AR4*0.995,0.00000597*Eingabe!C12*1000))</f>
        <v>0</v>
      </c>
      <c r="AS6" s="88">
        <f>IF(Eingabe!$E$47=TRUE,IF(AS4&gt;0,AS4*0.005*Ergebnis!$I$24,0.00000003*Eingabe!C12*Ergebnis!$I$24*1000),IF(AS4&gt;0,AS4*0.005,0.00000003*Eingabe!C12*1000))</f>
        <v>0</v>
      </c>
    </row>
    <row r="7" spans="1:45" s="83" customFormat="1">
      <c r="A7" s="83" t="s">
        <v>148</v>
      </c>
      <c r="B7" s="77"/>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row>
    <row r="8" spans="1:45" s="83" customFormat="1">
      <c r="A8" s="83" t="s">
        <v>151</v>
      </c>
      <c r="B8" s="77"/>
      <c r="C8" s="86"/>
      <c r="D8" s="86"/>
      <c r="E8" s="86">
        <v>2</v>
      </c>
      <c r="F8" s="86">
        <v>1</v>
      </c>
      <c r="G8" s="86">
        <v>3</v>
      </c>
      <c r="H8" s="86">
        <v>1</v>
      </c>
      <c r="I8" s="86">
        <v>1</v>
      </c>
      <c r="J8" s="86"/>
      <c r="K8" s="86"/>
      <c r="L8" s="86">
        <v>2</v>
      </c>
      <c r="M8" s="86">
        <v>1</v>
      </c>
      <c r="N8" s="86">
        <v>2</v>
      </c>
      <c r="O8" s="86">
        <v>1</v>
      </c>
      <c r="P8" s="86"/>
      <c r="Q8" s="86"/>
      <c r="R8" s="86"/>
      <c r="S8" s="86"/>
      <c r="T8" s="86"/>
      <c r="U8" s="86"/>
      <c r="V8" s="86"/>
      <c r="W8" s="86"/>
      <c r="X8" s="86"/>
      <c r="Y8" s="86"/>
      <c r="Z8" s="86"/>
      <c r="AA8" s="86"/>
      <c r="AB8" s="86"/>
      <c r="AC8" s="86"/>
      <c r="AD8" s="86"/>
      <c r="AE8" s="86"/>
      <c r="AF8" s="86"/>
      <c r="AG8" s="86"/>
      <c r="AH8" s="86"/>
      <c r="AI8" s="86"/>
      <c r="AJ8" s="86"/>
      <c r="AK8" s="86"/>
      <c r="AL8" s="86"/>
    </row>
    <row r="9" spans="1:45" s="83" customFormat="1" ht="27.75">
      <c r="A9" s="95" t="s">
        <v>171</v>
      </c>
      <c r="B9" s="91">
        <f>SUM(C9:AS9)</f>
        <v>0</v>
      </c>
      <c r="C9" s="92">
        <f>C$63*C$6</f>
        <v>0</v>
      </c>
      <c r="D9" s="92">
        <f t="shared" ref="D9:AL9" si="0">D$63*D$6</f>
        <v>0</v>
      </c>
      <c r="E9" s="92">
        <f t="shared" si="0"/>
        <v>0</v>
      </c>
      <c r="F9" s="92">
        <f t="shared" si="0"/>
        <v>0</v>
      </c>
      <c r="G9" s="92">
        <f t="shared" si="0"/>
        <v>0</v>
      </c>
      <c r="H9" s="92">
        <f t="shared" si="0"/>
        <v>0</v>
      </c>
      <c r="I9" s="92">
        <f t="shared" si="0"/>
        <v>0</v>
      </c>
      <c r="J9" s="92">
        <f t="shared" si="0"/>
        <v>0</v>
      </c>
      <c r="K9" s="92">
        <f t="shared" si="0"/>
        <v>0</v>
      </c>
      <c r="L9" s="92">
        <f t="shared" si="0"/>
        <v>0</v>
      </c>
      <c r="M9" s="92">
        <f t="shared" si="0"/>
        <v>0</v>
      </c>
      <c r="N9" s="92">
        <f>N$63*N$6</f>
        <v>0</v>
      </c>
      <c r="O9" s="92">
        <f t="shared" si="0"/>
        <v>0</v>
      </c>
      <c r="P9" s="92">
        <f t="shared" si="0"/>
        <v>0</v>
      </c>
      <c r="Q9" s="92">
        <f t="shared" si="0"/>
        <v>0</v>
      </c>
      <c r="R9" s="92">
        <f t="shared" si="0"/>
        <v>0</v>
      </c>
      <c r="S9" s="92">
        <f t="shared" si="0"/>
        <v>0</v>
      </c>
      <c r="T9" s="92">
        <f t="shared" si="0"/>
        <v>0</v>
      </c>
      <c r="U9" s="92">
        <f t="shared" si="0"/>
        <v>0</v>
      </c>
      <c r="V9" s="92">
        <f t="shared" si="0"/>
        <v>0</v>
      </c>
      <c r="W9" s="92">
        <f t="shared" si="0"/>
        <v>0</v>
      </c>
      <c r="X9" s="92">
        <f t="shared" si="0"/>
        <v>0</v>
      </c>
      <c r="Y9" s="92">
        <f t="shared" si="0"/>
        <v>0</v>
      </c>
      <c r="Z9" s="92">
        <f t="shared" si="0"/>
        <v>0</v>
      </c>
      <c r="AA9" s="92">
        <f t="shared" si="0"/>
        <v>0</v>
      </c>
      <c r="AB9" s="92">
        <f t="shared" si="0"/>
        <v>0</v>
      </c>
      <c r="AC9" s="92">
        <f t="shared" si="0"/>
        <v>0</v>
      </c>
      <c r="AD9" s="92">
        <f t="shared" si="0"/>
        <v>0</v>
      </c>
      <c r="AE9" s="92">
        <f t="shared" si="0"/>
        <v>0</v>
      </c>
      <c r="AF9" s="92">
        <f t="shared" si="0"/>
        <v>0</v>
      </c>
      <c r="AG9" s="92">
        <f t="shared" si="0"/>
        <v>0</v>
      </c>
      <c r="AH9" s="92">
        <f t="shared" si="0"/>
        <v>0</v>
      </c>
      <c r="AI9" s="92">
        <f t="shared" si="0"/>
        <v>0</v>
      </c>
      <c r="AJ9" s="92">
        <f t="shared" si="0"/>
        <v>0</v>
      </c>
      <c r="AK9" s="92">
        <f t="shared" si="0"/>
        <v>0</v>
      </c>
      <c r="AL9" s="92">
        <f t="shared" si="0"/>
        <v>0</v>
      </c>
      <c r="AM9" s="92">
        <f>0.0095844*AM6</f>
        <v>0</v>
      </c>
      <c r="AN9" s="92">
        <f>2.5647307*AN6</f>
        <v>0</v>
      </c>
      <c r="AO9" s="92">
        <f>4.447721*AO6</f>
        <v>0</v>
      </c>
      <c r="AP9" s="92">
        <f>4.9680544*AP6</f>
        <v>0</v>
      </c>
      <c r="AQ9" s="92">
        <f>202.0688*AQ6</f>
        <v>0</v>
      </c>
      <c r="AR9" s="92">
        <f>32.394359*AR6</f>
        <v>0</v>
      </c>
      <c r="AS9" s="92">
        <f>17.115*AS6</f>
        <v>0</v>
      </c>
    </row>
    <row r="10" spans="1:45" s="83" customFormat="1" ht="13.9">
      <c r="A10" s="95" t="s">
        <v>187</v>
      </c>
      <c r="B10" s="91">
        <f>SUM(C10:AS10)</f>
        <v>0</v>
      </c>
      <c r="C10" s="92">
        <f t="shared" ref="C10:AL10" si="1">C$116*C$6</f>
        <v>0</v>
      </c>
      <c r="D10" s="92">
        <f t="shared" si="1"/>
        <v>0</v>
      </c>
      <c r="E10" s="92">
        <f t="shared" si="1"/>
        <v>0</v>
      </c>
      <c r="F10" s="92">
        <f t="shared" si="1"/>
        <v>0</v>
      </c>
      <c r="G10" s="92">
        <f t="shared" si="1"/>
        <v>0</v>
      </c>
      <c r="H10" s="92">
        <f t="shared" si="1"/>
        <v>0</v>
      </c>
      <c r="I10" s="92">
        <f t="shared" si="1"/>
        <v>0</v>
      </c>
      <c r="J10" s="92">
        <f t="shared" si="1"/>
        <v>0</v>
      </c>
      <c r="K10" s="92">
        <f t="shared" si="1"/>
        <v>0</v>
      </c>
      <c r="L10" s="92">
        <f t="shared" si="1"/>
        <v>0</v>
      </c>
      <c r="M10" s="92">
        <f t="shared" si="1"/>
        <v>0</v>
      </c>
      <c r="N10" s="92">
        <f t="shared" si="1"/>
        <v>0</v>
      </c>
      <c r="O10" s="92">
        <f t="shared" si="1"/>
        <v>0</v>
      </c>
      <c r="P10" s="92">
        <f t="shared" si="1"/>
        <v>0</v>
      </c>
      <c r="Q10" s="92">
        <f t="shared" si="1"/>
        <v>0</v>
      </c>
      <c r="R10" s="92">
        <f t="shared" si="1"/>
        <v>0</v>
      </c>
      <c r="S10" s="92">
        <f t="shared" si="1"/>
        <v>0</v>
      </c>
      <c r="T10" s="92">
        <f t="shared" si="1"/>
        <v>0</v>
      </c>
      <c r="U10" s="92">
        <f t="shared" si="1"/>
        <v>0</v>
      </c>
      <c r="V10" s="92">
        <f t="shared" si="1"/>
        <v>0</v>
      </c>
      <c r="W10" s="92">
        <f t="shared" si="1"/>
        <v>0</v>
      </c>
      <c r="X10" s="92">
        <f t="shared" si="1"/>
        <v>0</v>
      </c>
      <c r="Y10" s="92">
        <f t="shared" si="1"/>
        <v>0</v>
      </c>
      <c r="Z10" s="92">
        <f t="shared" si="1"/>
        <v>0</v>
      </c>
      <c r="AA10" s="92">
        <f t="shared" si="1"/>
        <v>0</v>
      </c>
      <c r="AB10" s="92">
        <f t="shared" si="1"/>
        <v>0</v>
      </c>
      <c r="AC10" s="92">
        <f t="shared" si="1"/>
        <v>0</v>
      </c>
      <c r="AD10" s="92">
        <f t="shared" si="1"/>
        <v>0</v>
      </c>
      <c r="AE10" s="92">
        <f t="shared" si="1"/>
        <v>0</v>
      </c>
      <c r="AF10" s="92">
        <f t="shared" si="1"/>
        <v>0</v>
      </c>
      <c r="AG10" s="92">
        <f t="shared" si="1"/>
        <v>0</v>
      </c>
      <c r="AH10" s="92">
        <f t="shared" si="1"/>
        <v>0</v>
      </c>
      <c r="AI10" s="92">
        <f t="shared" si="1"/>
        <v>0</v>
      </c>
      <c r="AJ10" s="92">
        <f t="shared" si="1"/>
        <v>0</v>
      </c>
      <c r="AK10" s="92">
        <f t="shared" si="1"/>
        <v>0</v>
      </c>
      <c r="AL10" s="92">
        <f t="shared" si="1"/>
        <v>0</v>
      </c>
      <c r="AM10" s="92">
        <f>1*AM6</f>
        <v>0</v>
      </c>
      <c r="AN10" s="88">
        <v>0</v>
      </c>
      <c r="AO10" s="88">
        <v>0</v>
      </c>
      <c r="AP10" s="88">
        <v>0</v>
      </c>
      <c r="AQ10" s="88">
        <v>0</v>
      </c>
      <c r="AR10" s="88">
        <v>0</v>
      </c>
      <c r="AS10" s="88">
        <v>0</v>
      </c>
    </row>
    <row r="11" spans="1:45" s="83" customFormat="1" ht="13.9">
      <c r="A11" s="95" t="s">
        <v>188</v>
      </c>
      <c r="B11" s="91">
        <f>SUM(C11:AS11)</f>
        <v>0</v>
      </c>
      <c r="C11" s="92">
        <f t="shared" ref="C11:AL11" si="2">C$168*C$6</f>
        <v>0</v>
      </c>
      <c r="D11" s="92">
        <f t="shared" si="2"/>
        <v>0</v>
      </c>
      <c r="E11" s="92">
        <f t="shared" si="2"/>
        <v>0</v>
      </c>
      <c r="F11" s="92">
        <f t="shared" si="2"/>
        <v>0</v>
      </c>
      <c r="G11" s="92">
        <f t="shared" si="2"/>
        <v>0</v>
      </c>
      <c r="H11" s="92">
        <f t="shared" si="2"/>
        <v>0</v>
      </c>
      <c r="I11" s="92">
        <f t="shared" si="2"/>
        <v>0</v>
      </c>
      <c r="J11" s="92">
        <f t="shared" si="2"/>
        <v>0</v>
      </c>
      <c r="K11" s="92">
        <f t="shared" si="2"/>
        <v>0</v>
      </c>
      <c r="L11" s="92">
        <f t="shared" si="2"/>
        <v>0</v>
      </c>
      <c r="M11" s="92">
        <f t="shared" si="2"/>
        <v>0</v>
      </c>
      <c r="N11" s="92">
        <f t="shared" si="2"/>
        <v>0</v>
      </c>
      <c r="O11" s="92">
        <f t="shared" si="2"/>
        <v>0</v>
      </c>
      <c r="P11" s="92">
        <f t="shared" si="2"/>
        <v>0</v>
      </c>
      <c r="Q11" s="92">
        <f t="shared" si="2"/>
        <v>0</v>
      </c>
      <c r="R11" s="92">
        <f t="shared" si="2"/>
        <v>0</v>
      </c>
      <c r="S11" s="92">
        <f t="shared" si="2"/>
        <v>0</v>
      </c>
      <c r="T11" s="92">
        <f t="shared" si="2"/>
        <v>0</v>
      </c>
      <c r="U11" s="92">
        <f t="shared" si="2"/>
        <v>0</v>
      </c>
      <c r="V11" s="92">
        <f t="shared" si="2"/>
        <v>0</v>
      </c>
      <c r="W11" s="92">
        <f t="shared" si="2"/>
        <v>0</v>
      </c>
      <c r="X11" s="92">
        <f t="shared" si="2"/>
        <v>0</v>
      </c>
      <c r="Y11" s="92">
        <f t="shared" si="2"/>
        <v>0</v>
      </c>
      <c r="Z11" s="92">
        <f t="shared" si="2"/>
        <v>0</v>
      </c>
      <c r="AA11" s="92">
        <f t="shared" si="2"/>
        <v>0</v>
      </c>
      <c r="AB11" s="92">
        <f t="shared" si="2"/>
        <v>0</v>
      </c>
      <c r="AC11" s="92">
        <f t="shared" si="2"/>
        <v>0</v>
      </c>
      <c r="AD11" s="92">
        <f t="shared" si="2"/>
        <v>0</v>
      </c>
      <c r="AE11" s="92">
        <f t="shared" si="2"/>
        <v>0</v>
      </c>
      <c r="AF11" s="92">
        <f t="shared" si="2"/>
        <v>0</v>
      </c>
      <c r="AG11" s="92">
        <f t="shared" si="2"/>
        <v>0</v>
      </c>
      <c r="AH11" s="92">
        <f t="shared" si="2"/>
        <v>0</v>
      </c>
      <c r="AI11" s="92">
        <f t="shared" si="2"/>
        <v>0</v>
      </c>
      <c r="AJ11" s="92">
        <f t="shared" si="2"/>
        <v>0</v>
      </c>
      <c r="AK11" s="92">
        <f t="shared" si="2"/>
        <v>0</v>
      </c>
      <c r="AL11" s="92">
        <f t="shared" si="2"/>
        <v>0</v>
      </c>
      <c r="AM11" s="88">
        <v>0</v>
      </c>
      <c r="AN11" s="88">
        <v>0</v>
      </c>
      <c r="AO11" s="88">
        <v>0</v>
      </c>
      <c r="AP11" s="88">
        <v>0</v>
      </c>
      <c r="AQ11" s="88">
        <v>0</v>
      </c>
      <c r="AR11" s="88">
        <v>0</v>
      </c>
      <c r="AS11" s="88">
        <v>0</v>
      </c>
    </row>
    <row r="12" spans="1:45" s="83" customFormat="1" ht="13.9">
      <c r="A12" s="95" t="s">
        <v>189</v>
      </c>
      <c r="B12" s="91">
        <f>SUM(C12:AS12)</f>
        <v>0</v>
      </c>
      <c r="C12" s="92">
        <f t="shared" ref="C12:AL12" si="3">C$228*C$6</f>
        <v>0</v>
      </c>
      <c r="D12" s="92">
        <f t="shared" si="3"/>
        <v>0</v>
      </c>
      <c r="E12" s="92">
        <f t="shared" si="3"/>
        <v>0</v>
      </c>
      <c r="F12" s="92">
        <f t="shared" si="3"/>
        <v>0</v>
      </c>
      <c r="G12" s="92">
        <f t="shared" si="3"/>
        <v>0</v>
      </c>
      <c r="H12" s="92">
        <f t="shared" si="3"/>
        <v>0</v>
      </c>
      <c r="I12" s="92">
        <f t="shared" si="3"/>
        <v>0</v>
      </c>
      <c r="J12" s="92">
        <f t="shared" si="3"/>
        <v>0</v>
      </c>
      <c r="K12" s="92">
        <f t="shared" si="3"/>
        <v>0</v>
      </c>
      <c r="L12" s="92">
        <f t="shared" si="3"/>
        <v>0</v>
      </c>
      <c r="M12" s="92">
        <f t="shared" si="3"/>
        <v>0</v>
      </c>
      <c r="N12" s="92">
        <f t="shared" si="3"/>
        <v>0</v>
      </c>
      <c r="O12" s="92">
        <f t="shared" si="3"/>
        <v>0</v>
      </c>
      <c r="P12" s="92">
        <f t="shared" si="3"/>
        <v>0</v>
      </c>
      <c r="Q12" s="92">
        <f t="shared" si="3"/>
        <v>0</v>
      </c>
      <c r="R12" s="92">
        <f t="shared" si="3"/>
        <v>0</v>
      </c>
      <c r="S12" s="92">
        <f t="shared" si="3"/>
        <v>0</v>
      </c>
      <c r="T12" s="92">
        <f t="shared" si="3"/>
        <v>0</v>
      </c>
      <c r="U12" s="92">
        <f t="shared" si="3"/>
        <v>0</v>
      </c>
      <c r="V12" s="92">
        <f t="shared" si="3"/>
        <v>0</v>
      </c>
      <c r="W12" s="92">
        <f t="shared" si="3"/>
        <v>0</v>
      </c>
      <c r="X12" s="92">
        <f t="shared" si="3"/>
        <v>0</v>
      </c>
      <c r="Y12" s="92">
        <f t="shared" si="3"/>
        <v>0</v>
      </c>
      <c r="Z12" s="92">
        <f t="shared" si="3"/>
        <v>0</v>
      </c>
      <c r="AA12" s="92">
        <f t="shared" si="3"/>
        <v>0</v>
      </c>
      <c r="AB12" s="92">
        <f t="shared" si="3"/>
        <v>0</v>
      </c>
      <c r="AC12" s="92">
        <f t="shared" si="3"/>
        <v>0</v>
      </c>
      <c r="AD12" s="92">
        <f t="shared" si="3"/>
        <v>0</v>
      </c>
      <c r="AE12" s="92">
        <f t="shared" si="3"/>
        <v>0</v>
      </c>
      <c r="AF12" s="92">
        <f t="shared" si="3"/>
        <v>0</v>
      </c>
      <c r="AG12" s="92">
        <f t="shared" si="3"/>
        <v>0</v>
      </c>
      <c r="AH12" s="92">
        <f t="shared" si="3"/>
        <v>0</v>
      </c>
      <c r="AI12" s="92">
        <f t="shared" si="3"/>
        <v>0</v>
      </c>
      <c r="AJ12" s="92">
        <f t="shared" si="3"/>
        <v>0</v>
      </c>
      <c r="AK12" s="92">
        <f t="shared" si="3"/>
        <v>0</v>
      </c>
      <c r="AL12" s="92">
        <f t="shared" si="3"/>
        <v>0</v>
      </c>
      <c r="AM12" s="93">
        <f>460*AM6</f>
        <v>0</v>
      </c>
      <c r="AN12" s="93">
        <f>21000*AN6</f>
        <v>0</v>
      </c>
      <c r="AO12" s="93">
        <f>39000*AO6</f>
        <v>0</v>
      </c>
      <c r="AP12" s="93">
        <f>67000*AP6</f>
        <v>0</v>
      </c>
      <c r="AQ12" s="93">
        <f>5600000*AQ6</f>
        <v>0</v>
      </c>
      <c r="AR12" s="88">
        <f>140000*AR6</f>
        <v>0</v>
      </c>
      <c r="AS12" s="93">
        <f>140000*AS6</f>
        <v>0</v>
      </c>
    </row>
    <row r="13" spans="1:45" s="83" customFormat="1"/>
    <row r="14" spans="1:45" s="83" customFormat="1">
      <c r="B14" s="94"/>
    </row>
    <row r="15" spans="1:45">
      <c r="A15" s="79"/>
    </row>
    <row r="16" spans="1:45" hidden="1" outlineLevel="1">
      <c r="A16" s="80" t="s">
        <v>28</v>
      </c>
      <c r="B16" s="80" t="s">
        <v>297</v>
      </c>
    </row>
    <row r="17" spans="1:2" hidden="1" outlineLevel="1">
      <c r="A17" s="80" t="s">
        <v>29</v>
      </c>
      <c r="B17" s="80" t="s">
        <v>298</v>
      </c>
    </row>
    <row r="18" spans="1:2" hidden="1" outlineLevel="1">
      <c r="A18" s="80" t="s">
        <v>30</v>
      </c>
      <c r="B18" s="80" t="s">
        <v>365</v>
      </c>
    </row>
    <row r="19" spans="1:2" hidden="1" outlineLevel="1">
      <c r="A19" s="80" t="s">
        <v>31</v>
      </c>
      <c r="B19" s="80" t="s">
        <v>366</v>
      </c>
    </row>
    <row r="20" spans="1:2" hidden="1" outlineLevel="1">
      <c r="A20" s="80" t="s">
        <v>32</v>
      </c>
      <c r="B20" s="80" t="s">
        <v>367</v>
      </c>
    </row>
    <row r="21" spans="1:2" hidden="1" outlineLevel="1">
      <c r="A21" s="80" t="s">
        <v>33</v>
      </c>
      <c r="B21" s="80" t="s">
        <v>368</v>
      </c>
    </row>
    <row r="22" spans="1:2" hidden="1" outlineLevel="1">
      <c r="A22" s="80" t="s">
        <v>34</v>
      </c>
      <c r="B22" s="80" t="s">
        <v>369</v>
      </c>
    </row>
    <row r="23" spans="1:2" hidden="1" outlineLevel="1">
      <c r="A23" s="80" t="s">
        <v>35</v>
      </c>
      <c r="B23" s="80" t="s">
        <v>370</v>
      </c>
    </row>
    <row r="24" spans="1:2" hidden="1" outlineLevel="1">
      <c r="A24" s="80" t="s">
        <v>36</v>
      </c>
      <c r="B24" s="80" t="s">
        <v>371</v>
      </c>
    </row>
    <row r="25" spans="1:2" hidden="1" outlineLevel="1">
      <c r="A25" s="80" t="s">
        <v>37</v>
      </c>
      <c r="B25" s="80" t="s">
        <v>372</v>
      </c>
    </row>
    <row r="26" spans="1:2" hidden="1" outlineLevel="1">
      <c r="A26" s="80" t="s">
        <v>38</v>
      </c>
      <c r="B26" s="80" t="s">
        <v>76</v>
      </c>
    </row>
    <row r="27" spans="1:2" hidden="1" outlineLevel="1">
      <c r="A27" s="80" t="s">
        <v>39</v>
      </c>
      <c r="B27" s="80" t="s">
        <v>373</v>
      </c>
    </row>
    <row r="28" spans="1:2" hidden="1" outlineLevel="1">
      <c r="A28" s="80" t="s">
        <v>45</v>
      </c>
      <c r="B28" s="80" t="s">
        <v>374</v>
      </c>
    </row>
    <row r="29" spans="1:2" hidden="1" outlineLevel="1">
      <c r="A29" s="80" t="s">
        <v>47</v>
      </c>
      <c r="B29" s="80" t="s">
        <v>375</v>
      </c>
    </row>
    <row r="30" spans="1:2" hidden="1" outlineLevel="1">
      <c r="A30" s="80" t="s">
        <v>49</v>
      </c>
      <c r="B30" s="80" t="s">
        <v>376</v>
      </c>
    </row>
    <row r="31" spans="1:2" hidden="1" outlineLevel="1">
      <c r="A31" s="80" t="s">
        <v>50</v>
      </c>
      <c r="B31" s="80" t="s">
        <v>377</v>
      </c>
    </row>
    <row r="32" spans="1:2" hidden="1" outlineLevel="1">
      <c r="A32" s="80" t="s">
        <v>51</v>
      </c>
      <c r="B32" s="80" t="s">
        <v>69</v>
      </c>
    </row>
    <row r="33" spans="1:39" hidden="1" outlineLevel="1">
      <c r="A33" s="80" t="s">
        <v>52</v>
      </c>
      <c r="B33" s="80" t="s">
        <v>70</v>
      </c>
    </row>
    <row r="34" spans="1:39" hidden="1" outlineLevel="1">
      <c r="A34" s="80" t="s">
        <v>53</v>
      </c>
      <c r="B34" s="80" t="s">
        <v>299</v>
      </c>
    </row>
    <row r="35" spans="1:39" hidden="1" outlineLevel="1">
      <c r="A35" s="80" t="s">
        <v>54</v>
      </c>
      <c r="B35" s="80" t="s">
        <v>300</v>
      </c>
    </row>
    <row r="36" spans="1:39" hidden="1" outlineLevel="1">
      <c r="A36" s="80" t="s">
        <v>55</v>
      </c>
      <c r="B36" s="80" t="s">
        <v>71</v>
      </c>
    </row>
    <row r="37" spans="1:39" hidden="1" outlineLevel="1">
      <c r="A37" s="80" t="s">
        <v>56</v>
      </c>
      <c r="B37" s="80" t="s">
        <v>72</v>
      </c>
    </row>
    <row r="38" spans="1:39" hidden="1" outlineLevel="1">
      <c r="A38" s="80" t="s">
        <v>57</v>
      </c>
      <c r="B38" s="80" t="s">
        <v>73</v>
      </c>
    </row>
    <row r="39" spans="1:39" hidden="1" outlineLevel="1">
      <c r="A39" s="80" t="s">
        <v>58</v>
      </c>
      <c r="B39" s="80" t="s">
        <v>74</v>
      </c>
    </row>
    <row r="40" spans="1:39" hidden="1" outlineLevel="1">
      <c r="A40" s="80" t="s">
        <v>59</v>
      </c>
      <c r="B40" s="80" t="s">
        <v>75</v>
      </c>
    </row>
    <row r="41" spans="1:39" hidden="1" outlineLevel="1">
      <c r="A41" s="80" t="s">
        <v>60</v>
      </c>
      <c r="B41" s="80" t="s">
        <v>76</v>
      </c>
    </row>
    <row r="42" spans="1:39" hidden="1" outlineLevel="1">
      <c r="A42" s="80" t="s">
        <v>61</v>
      </c>
      <c r="B42" s="80" t="s">
        <v>77</v>
      </c>
      <c r="AM42" s="80" t="s">
        <v>227</v>
      </c>
    </row>
    <row r="43" spans="1:39" hidden="1" outlineLevel="1">
      <c r="A43" s="80" t="s">
        <v>62</v>
      </c>
      <c r="B43" s="80" t="s">
        <v>78</v>
      </c>
      <c r="AM43" s="80" t="s">
        <v>228</v>
      </c>
    </row>
    <row r="44" spans="1:39" hidden="1" outlineLevel="1">
      <c r="A44" s="80" t="s">
        <v>63</v>
      </c>
      <c r="B44" s="80" t="s">
        <v>378</v>
      </c>
      <c r="AM44" s="80" t="s">
        <v>229</v>
      </c>
    </row>
    <row r="45" spans="1:39" hidden="1" outlineLevel="1">
      <c r="A45" s="80" t="s">
        <v>285</v>
      </c>
      <c r="B45" s="80" t="s">
        <v>284</v>
      </c>
    </row>
    <row r="46" spans="1:39" hidden="1" outlineLevel="1">
      <c r="A46" s="80" t="s">
        <v>286</v>
      </c>
      <c r="B46" s="80" t="s">
        <v>379</v>
      </c>
    </row>
    <row r="47" spans="1:39" hidden="1" outlineLevel="1">
      <c r="A47" s="80" t="s">
        <v>289</v>
      </c>
      <c r="B47" s="80" t="s">
        <v>79</v>
      </c>
      <c r="AM47" s="80" t="s">
        <v>40</v>
      </c>
    </row>
    <row r="48" spans="1:39" hidden="1" outlineLevel="1">
      <c r="A48" s="80" t="s">
        <v>301</v>
      </c>
      <c r="B48" s="80" t="s">
        <v>48</v>
      </c>
      <c r="AM48" s="80" t="s">
        <v>82</v>
      </c>
    </row>
    <row r="49" spans="1:48" hidden="1" outlineLevel="1">
      <c r="A49" s="80" t="s">
        <v>302</v>
      </c>
      <c r="B49" s="80" t="s">
        <v>46</v>
      </c>
      <c r="AM49" s="80" t="s">
        <v>230</v>
      </c>
    </row>
    <row r="50" spans="1:48" hidden="1" outlineLevel="1">
      <c r="A50" s="80" t="s">
        <v>303</v>
      </c>
      <c r="B50" s="80" t="s">
        <v>380</v>
      </c>
    </row>
    <row r="51" spans="1:48" hidden="1" outlineLevel="1">
      <c r="A51" s="80" t="s">
        <v>340</v>
      </c>
      <c r="B51" s="80" t="s">
        <v>381</v>
      </c>
    </row>
    <row r="52" spans="1:48" hidden="1" outlineLevel="1">
      <c r="A52" s="80" t="s">
        <v>304</v>
      </c>
      <c r="B52" s="80" t="s">
        <v>382</v>
      </c>
      <c r="AM52" s="80" t="s">
        <v>87</v>
      </c>
    </row>
    <row r="53" spans="1:48" hidden="1" outlineLevel="1">
      <c r="A53" s="80" t="s">
        <v>305</v>
      </c>
      <c r="B53" s="80" t="s">
        <v>306</v>
      </c>
      <c r="AM53" s="81">
        <v>0</v>
      </c>
    </row>
    <row r="54" spans="1:48" hidden="1" outlineLevel="1">
      <c r="A54" s="80" t="s">
        <v>41</v>
      </c>
      <c r="B54" s="80" t="s">
        <v>307</v>
      </c>
      <c r="AM54" s="81" t="s">
        <v>85</v>
      </c>
    </row>
    <row r="55" spans="1:48" hidden="1" outlineLevel="1">
      <c r="A55" s="80" t="s">
        <v>84</v>
      </c>
      <c r="B55" s="80" t="s">
        <v>308</v>
      </c>
      <c r="AM55" s="80" t="s">
        <v>87</v>
      </c>
    </row>
    <row r="56" spans="1:48" hidden="1" outlineLevel="1">
      <c r="A56" s="80" t="s">
        <v>309</v>
      </c>
      <c r="B56" s="80" t="s">
        <v>310</v>
      </c>
      <c r="AM56" s="80" t="s">
        <v>85</v>
      </c>
    </row>
    <row r="57" spans="1:48" hidden="1" outlineLevel="1">
      <c r="A57" s="80" t="s">
        <v>311</v>
      </c>
      <c r="B57" s="80" t="s">
        <v>308</v>
      </c>
      <c r="AM57" s="80" t="s">
        <v>231</v>
      </c>
    </row>
    <row r="58" spans="1:48" hidden="1" outlineLevel="1">
      <c r="A58" s="80" t="s">
        <v>42</v>
      </c>
      <c r="B58" s="80" t="s">
        <v>310</v>
      </c>
      <c r="AM58" s="80" t="s">
        <v>90</v>
      </c>
    </row>
    <row r="59" spans="1:48" hidden="1" outlineLevel="1">
      <c r="A59" s="80" t="s">
        <v>43</v>
      </c>
      <c r="B59" s="80" t="s">
        <v>312</v>
      </c>
    </row>
    <row r="60" spans="1:48" hidden="1" outlineLevel="1">
      <c r="A60" s="80" t="s">
        <v>44</v>
      </c>
      <c r="B60" s="80" t="s">
        <v>313</v>
      </c>
      <c r="AM60" s="80" t="s">
        <v>231</v>
      </c>
      <c r="AN60" s="80" t="s">
        <v>232</v>
      </c>
      <c r="AO60" s="80" t="s">
        <v>91</v>
      </c>
      <c r="AP60" s="80" t="s">
        <v>0</v>
      </c>
      <c r="AQ60" s="80" t="s">
        <v>233</v>
      </c>
    </row>
    <row r="61" spans="1:48" collapsed="1"/>
    <row r="62" spans="1:48" ht="81">
      <c r="A62" s="80" t="s">
        <v>312</v>
      </c>
      <c r="B62" s="80" t="s">
        <v>314</v>
      </c>
      <c r="C62" s="80" t="s">
        <v>235</v>
      </c>
      <c r="D62" s="80" t="s">
        <v>236</v>
      </c>
      <c r="E62" s="80" t="s">
        <v>237</v>
      </c>
      <c r="F62" s="80" t="s">
        <v>238</v>
      </c>
      <c r="G62" s="80" t="s">
        <v>383</v>
      </c>
      <c r="H62" s="80" t="s">
        <v>239</v>
      </c>
      <c r="I62" s="80" t="s">
        <v>240</v>
      </c>
      <c r="J62" s="80" t="s">
        <v>241</v>
      </c>
      <c r="K62" s="80" t="s">
        <v>110</v>
      </c>
      <c r="L62" s="80" t="s">
        <v>242</v>
      </c>
      <c r="M62" s="80" t="s">
        <v>243</v>
      </c>
      <c r="N62" s="80" t="s">
        <v>266</v>
      </c>
      <c r="O62" s="80" t="s">
        <v>267</v>
      </c>
      <c r="P62" s="80" t="s">
        <v>268</v>
      </c>
      <c r="Q62" s="80" t="s">
        <v>103</v>
      </c>
      <c r="R62" s="80" t="s">
        <v>104</v>
      </c>
      <c r="S62" s="80" t="s">
        <v>316</v>
      </c>
      <c r="T62" s="80" t="s">
        <v>317</v>
      </c>
      <c r="U62" s="80" t="s">
        <v>105</v>
      </c>
      <c r="V62" s="80" t="s">
        <v>106</v>
      </c>
      <c r="W62" s="80" t="s">
        <v>107</v>
      </c>
      <c r="X62" s="80" t="s">
        <v>108</v>
      </c>
      <c r="Y62" s="80" t="s">
        <v>109</v>
      </c>
      <c r="Z62" s="80" t="s">
        <v>110</v>
      </c>
      <c r="AA62" s="80" t="s">
        <v>111</v>
      </c>
      <c r="AB62" s="80" t="s">
        <v>112</v>
      </c>
      <c r="AC62" s="80" t="s">
        <v>384</v>
      </c>
      <c r="AD62" s="80" t="s">
        <v>287</v>
      </c>
      <c r="AE62" s="80" t="s">
        <v>385</v>
      </c>
      <c r="AF62" s="80" t="s">
        <v>114</v>
      </c>
      <c r="AG62" s="80" t="s">
        <v>64</v>
      </c>
      <c r="AH62" s="80" t="s">
        <v>2</v>
      </c>
      <c r="AI62" s="80" t="s">
        <v>346</v>
      </c>
      <c r="AJ62" s="80" t="s">
        <v>354</v>
      </c>
      <c r="AK62" s="80" t="s">
        <v>64</v>
      </c>
      <c r="AL62" s="80" t="s">
        <v>2</v>
      </c>
      <c r="AM62" s="80" t="s">
        <v>220</v>
      </c>
      <c r="AN62" s="80" t="s">
        <v>234</v>
      </c>
      <c r="AO62" s="80" t="s">
        <v>1</v>
      </c>
      <c r="AP62" s="80">
        <v>4.9680543999999998</v>
      </c>
      <c r="AQ62" s="80">
        <v>4.9680543999999998</v>
      </c>
      <c r="AU62" s="96" t="s">
        <v>386</v>
      </c>
      <c r="AV62" s="96" t="s">
        <v>364</v>
      </c>
    </row>
    <row r="63" spans="1:48">
      <c r="A63" s="80" t="s">
        <v>7</v>
      </c>
      <c r="B63" s="80" t="s">
        <v>1</v>
      </c>
      <c r="C63" s="80">
        <v>2.5466900999999999E-3</v>
      </c>
      <c r="D63" s="82">
        <v>6.1083132999999995E-5</v>
      </c>
      <c r="E63" s="82">
        <v>9.4170055999999994E-5</v>
      </c>
      <c r="F63" s="80">
        <v>1.4588241000000001E-3</v>
      </c>
      <c r="G63" s="80">
        <v>9.7716186999999996E-5</v>
      </c>
      <c r="H63" s="82">
        <v>2.4205577000000001E-5</v>
      </c>
      <c r="I63" s="82">
        <v>1.9622597000000002E-6</v>
      </c>
      <c r="J63" s="80">
        <v>4.6441838000000002E-4</v>
      </c>
      <c r="K63" s="80">
        <v>7.6576856999999998E-3</v>
      </c>
      <c r="L63" s="80">
        <v>3.8098926000000003E-4</v>
      </c>
      <c r="M63" s="80">
        <v>3.8639924999999997E-4</v>
      </c>
      <c r="N63" s="80">
        <v>1.5408600999999999E-2</v>
      </c>
      <c r="O63" s="80">
        <v>1.0373426E-2</v>
      </c>
      <c r="P63" s="80">
        <v>2.8757608E-2</v>
      </c>
      <c r="Q63" s="80">
        <v>6.3056836000000005E-2</v>
      </c>
      <c r="R63" s="80">
        <v>3.6215281000000002E-2</v>
      </c>
      <c r="S63" s="80">
        <v>2.8073665000000001E-2</v>
      </c>
      <c r="T63" s="80">
        <v>1.1069140999999999E-2</v>
      </c>
      <c r="U63" s="80">
        <v>6.0954217999999998E-2</v>
      </c>
      <c r="V63" s="80">
        <v>5.7679332999999999E-2</v>
      </c>
      <c r="W63" s="80">
        <v>0.26365620000000001</v>
      </c>
      <c r="X63" s="80">
        <v>0.16088353999999999</v>
      </c>
      <c r="Y63" s="80">
        <v>0.2160649</v>
      </c>
      <c r="Z63" s="80">
        <v>7.6576856999999998E-3</v>
      </c>
      <c r="AA63" s="80">
        <v>3.1986245000000003E-2</v>
      </c>
      <c r="AB63" s="80">
        <v>9.5667338999999997E-4</v>
      </c>
      <c r="AC63" s="80">
        <v>0.22306345999999999</v>
      </c>
      <c r="AD63" s="80">
        <v>4.4150335999999998E-3</v>
      </c>
      <c r="AE63" s="80">
        <v>0.23310771999999999</v>
      </c>
      <c r="AF63" s="82">
        <v>1.1465065000000001E-5</v>
      </c>
      <c r="AG63" s="80">
        <v>3.4226395000000001E-3</v>
      </c>
      <c r="AH63" s="80">
        <v>2.3795869000000001E-2</v>
      </c>
      <c r="AI63" s="80">
        <v>2.5466900999999999E-3</v>
      </c>
      <c r="AJ63" s="82">
        <v>1.2800739000000001E-4</v>
      </c>
      <c r="AK63" s="80">
        <v>3.3914120999999999E-3</v>
      </c>
      <c r="AL63" s="80">
        <v>2.3483896000000001E-2</v>
      </c>
      <c r="AM63" s="80" t="s">
        <v>217</v>
      </c>
      <c r="AN63" s="80" t="s">
        <v>234</v>
      </c>
      <c r="AO63" s="80" t="s">
        <v>1</v>
      </c>
      <c r="AP63" s="80">
        <v>9.5843999999999999E-3</v>
      </c>
      <c r="AQ63" s="80">
        <v>9.5843999999999999E-3</v>
      </c>
    </row>
    <row r="64" spans="1:48">
      <c r="A64" s="80" t="s">
        <v>19</v>
      </c>
      <c r="B64" s="80" t="s">
        <v>1</v>
      </c>
      <c r="C64" s="80">
        <v>2.4178480999999998E-3</v>
      </c>
      <c r="D64" s="82">
        <v>3.4538787E-5</v>
      </c>
      <c r="E64" s="82">
        <v>8.1532122000000005E-5</v>
      </c>
      <c r="F64" s="80">
        <v>3.3464283E-4</v>
      </c>
      <c r="G64" s="80">
        <v>9.7424436999999996E-5</v>
      </c>
      <c r="H64" s="82">
        <v>1.8610991000000001E-5</v>
      </c>
      <c r="I64" s="82">
        <v>8.3402349999999999E-7</v>
      </c>
      <c r="J64" s="80">
        <v>2.0392832E-4</v>
      </c>
      <c r="K64" s="80">
        <v>4.2728901999999997E-3</v>
      </c>
      <c r="L64" s="80">
        <v>2.2837656000000001E-4</v>
      </c>
      <c r="M64" s="80">
        <v>2.3224665E-4</v>
      </c>
      <c r="N64" s="80">
        <v>7.3061604999999996E-3</v>
      </c>
      <c r="O64" s="80">
        <v>7.5732059999999999E-3</v>
      </c>
      <c r="P64" s="80">
        <v>1.2622604000000001E-2</v>
      </c>
      <c r="Q64" s="80">
        <v>3.5771177000000001E-2</v>
      </c>
      <c r="R64" s="80">
        <v>1.7411286000000002E-2</v>
      </c>
      <c r="S64" s="80">
        <v>1.3458998999999999E-2</v>
      </c>
      <c r="T64" s="80">
        <v>5.5440065000000004E-3</v>
      </c>
      <c r="U64" s="80">
        <v>3.1990691000000002E-2</v>
      </c>
      <c r="V64" s="80">
        <v>3.2205464000000003E-2</v>
      </c>
      <c r="W64" s="80">
        <v>5.1503723000000001E-2</v>
      </c>
      <c r="X64" s="80">
        <v>9.3782109000000002E-2</v>
      </c>
      <c r="Y64" s="80">
        <v>6.5589119000000001E-2</v>
      </c>
      <c r="Z64" s="80">
        <v>4.2728901999999997E-3</v>
      </c>
      <c r="AA64" s="80">
        <v>2.3674226999999999E-2</v>
      </c>
      <c r="AB64" s="80">
        <v>8.8060552E-4</v>
      </c>
      <c r="AC64" s="80">
        <v>2.7826684000000001E-2</v>
      </c>
      <c r="AD64" s="80">
        <v>2.7498700999999999E-4</v>
      </c>
      <c r="AE64" s="80">
        <v>3.4721835999999999E-2</v>
      </c>
      <c r="AF64" s="82">
        <v>6.7364444999999996E-6</v>
      </c>
      <c r="AG64" s="80">
        <v>2.0278904000000002E-3</v>
      </c>
      <c r="AH64" s="80">
        <v>1.2032482000000001E-2</v>
      </c>
      <c r="AI64" s="80">
        <v>2.4178480999999998E-3</v>
      </c>
      <c r="AJ64" s="82">
        <v>9.6214487000000003E-5</v>
      </c>
      <c r="AK64" s="80">
        <v>2.0141991E-3</v>
      </c>
      <c r="AL64" s="80">
        <v>1.1813995000000001E-2</v>
      </c>
      <c r="AM64" s="80" t="s">
        <v>219</v>
      </c>
      <c r="AN64" s="80" t="s">
        <v>234</v>
      </c>
      <c r="AO64" s="80" t="s">
        <v>1</v>
      </c>
      <c r="AP64" s="80">
        <v>4.4477209999999996</v>
      </c>
      <c r="AQ64" s="80">
        <v>4.4477209999999996</v>
      </c>
      <c r="AU64" s="80" t="s">
        <v>363</v>
      </c>
      <c r="AV64" s="80" t="s">
        <v>362</v>
      </c>
    </row>
    <row r="65" spans="1:48">
      <c r="A65" s="80" t="s">
        <v>20</v>
      </c>
      <c r="B65" s="80" t="s">
        <v>1</v>
      </c>
      <c r="C65" s="82">
        <v>2.0944878E-5</v>
      </c>
      <c r="D65" s="82">
        <v>3.0659984000000001E-6</v>
      </c>
      <c r="E65" s="82">
        <v>1.0871435999999999E-6</v>
      </c>
      <c r="F65" s="82">
        <v>1.4655992E-5</v>
      </c>
      <c r="G65" s="82">
        <v>9.6787119E-8</v>
      </c>
      <c r="H65" s="82">
        <v>7.6810853000000003E-7</v>
      </c>
      <c r="I65" s="82">
        <v>2.4083605999999998E-7</v>
      </c>
      <c r="J65" s="82">
        <v>2.8420613999999999E-5</v>
      </c>
      <c r="K65" s="80">
        <v>4.9186958999999995E-4</v>
      </c>
      <c r="L65" s="80">
        <v>5.3435813000000003E-5</v>
      </c>
      <c r="M65" s="80">
        <v>5.4289687000000001E-5</v>
      </c>
      <c r="N65" s="80">
        <v>6.8557521000000004E-4</v>
      </c>
      <c r="O65" s="80">
        <v>5.1896498E-4</v>
      </c>
      <c r="P65" s="80">
        <v>4.5206478000000003E-3</v>
      </c>
      <c r="Q65" s="80">
        <v>3.3380136000000001E-3</v>
      </c>
      <c r="R65" s="80">
        <v>1.0247437000000001E-3</v>
      </c>
      <c r="S65" s="80">
        <v>8.9425108999999995E-4</v>
      </c>
      <c r="T65" s="80">
        <v>1.2950849E-3</v>
      </c>
      <c r="U65" s="80">
        <v>3.7799701000000002E-3</v>
      </c>
      <c r="V65" s="80">
        <v>5.1234656E-3</v>
      </c>
      <c r="W65" s="80">
        <v>4.7184599999999998E-3</v>
      </c>
      <c r="X65" s="80">
        <v>8.1295293000000005E-3</v>
      </c>
      <c r="Y65" s="80">
        <v>8.7868318000000004E-3</v>
      </c>
      <c r="Z65" s="80">
        <v>4.9186958999999995E-4</v>
      </c>
      <c r="AA65" s="80">
        <v>2.7757061000000002E-3</v>
      </c>
      <c r="AB65" s="82">
        <v>2.7252162999999998E-5</v>
      </c>
      <c r="AC65" s="80">
        <v>3.4325709000000001E-3</v>
      </c>
      <c r="AD65" s="82">
        <v>4.1807921999999997E-5</v>
      </c>
      <c r="AE65" s="80">
        <v>4.4859749000000001E-3</v>
      </c>
      <c r="AF65" s="82">
        <v>1.3925274000000001E-6</v>
      </c>
      <c r="AG65" s="80">
        <v>2.2134018999999999E-4</v>
      </c>
      <c r="AH65" s="80">
        <v>1.2369502E-3</v>
      </c>
      <c r="AI65" s="82">
        <v>2.0944878E-5</v>
      </c>
      <c r="AJ65" s="82">
        <v>4.3485387000000002E-6</v>
      </c>
      <c r="AK65" s="80">
        <v>2.135207E-4</v>
      </c>
      <c r="AL65" s="80">
        <v>1.1688219000000001E-3</v>
      </c>
      <c r="AM65" s="80" t="s">
        <v>225</v>
      </c>
      <c r="AN65" s="80" t="s">
        <v>234</v>
      </c>
      <c r="AO65" s="80" t="s">
        <v>1</v>
      </c>
      <c r="AP65" s="80">
        <v>32.394359000000001</v>
      </c>
      <c r="AQ65" s="80">
        <v>32.394359000000001</v>
      </c>
      <c r="AU65" s="169">
        <v>37.75</v>
      </c>
      <c r="AV65" s="80">
        <v>0.430498150583838</v>
      </c>
    </row>
    <row r="66" spans="1:48">
      <c r="A66" s="80" t="s">
        <v>21</v>
      </c>
      <c r="B66" s="80" t="s">
        <v>1</v>
      </c>
      <c r="C66" s="80">
        <v>1.0789709999999999E-4</v>
      </c>
      <c r="D66" s="82">
        <v>2.3478347E-5</v>
      </c>
      <c r="E66" s="82">
        <v>1.1550790000000001E-5</v>
      </c>
      <c r="F66" s="80">
        <v>1.1095253E-3</v>
      </c>
      <c r="G66" s="82">
        <v>1.9496350999999999E-7</v>
      </c>
      <c r="H66" s="82">
        <v>4.8264781E-6</v>
      </c>
      <c r="I66" s="82">
        <v>8.8740014999999998E-7</v>
      </c>
      <c r="J66" s="80">
        <v>2.3206944999999999E-4</v>
      </c>
      <c r="K66" s="80">
        <v>2.8929259000000001E-3</v>
      </c>
      <c r="L66" s="82">
        <v>9.9176882999999996E-5</v>
      </c>
      <c r="M66" s="80">
        <v>9.9862905999999999E-5</v>
      </c>
      <c r="N66" s="80">
        <v>7.4168652E-3</v>
      </c>
      <c r="O66" s="80">
        <v>2.2812546000000001E-3</v>
      </c>
      <c r="P66" s="80">
        <v>1.1614355999999999E-2</v>
      </c>
      <c r="Q66" s="80">
        <v>2.3947645E-2</v>
      </c>
      <c r="R66" s="80">
        <v>1.7779251999999999E-2</v>
      </c>
      <c r="S66" s="80">
        <v>1.3720415E-2</v>
      </c>
      <c r="T66" s="80">
        <v>4.2300502E-3</v>
      </c>
      <c r="U66" s="80">
        <v>2.5183556999999999E-2</v>
      </c>
      <c r="V66" s="80">
        <v>2.0350403E-2</v>
      </c>
      <c r="W66" s="80">
        <v>0.20743401</v>
      </c>
      <c r="X66" s="80">
        <v>5.8971904999999998E-2</v>
      </c>
      <c r="Y66" s="80">
        <v>0.14168895000000001</v>
      </c>
      <c r="Z66" s="80">
        <v>2.8929259000000001E-3</v>
      </c>
      <c r="AA66" s="80">
        <v>5.5363124E-3</v>
      </c>
      <c r="AB66" s="82">
        <v>4.8815703999999998E-5</v>
      </c>
      <c r="AC66" s="80">
        <v>0.19180420000000001</v>
      </c>
      <c r="AD66" s="80">
        <v>4.0982387000000004E-3</v>
      </c>
      <c r="AE66" s="80">
        <v>0.19389991000000001</v>
      </c>
      <c r="AF66" s="82">
        <v>3.3360933999999999E-6</v>
      </c>
      <c r="AG66" s="80">
        <v>1.1734088E-3</v>
      </c>
      <c r="AH66" s="80">
        <v>1.0526437E-2</v>
      </c>
      <c r="AI66" s="80">
        <v>1.0789709999999999E-4</v>
      </c>
      <c r="AJ66" s="82">
        <v>2.7444361000000001E-5</v>
      </c>
      <c r="AK66" s="80">
        <v>1.1636923999999999E-3</v>
      </c>
      <c r="AL66" s="80">
        <v>1.0501079E-2</v>
      </c>
      <c r="AM66" s="80" t="s">
        <v>226</v>
      </c>
      <c r="AN66" s="80" t="s">
        <v>234</v>
      </c>
      <c r="AO66" s="80" t="s">
        <v>1</v>
      </c>
      <c r="AP66" s="80">
        <v>17.114999999999998</v>
      </c>
      <c r="AQ66" s="80">
        <v>17.114999999999998</v>
      </c>
      <c r="AU66" s="169">
        <v>80</v>
      </c>
      <c r="AV66" s="80">
        <v>0.91230658899999995</v>
      </c>
    </row>
    <row r="67" spans="1:48">
      <c r="AU67" s="169">
        <v>100</v>
      </c>
      <c r="AV67" s="80">
        <v>1.1403832367107176</v>
      </c>
    </row>
    <row r="68" spans="1:48">
      <c r="E68" s="82"/>
      <c r="AI68" s="145"/>
      <c r="AJ68" s="145"/>
    </row>
    <row r="69" spans="1:48">
      <c r="B69" s="146"/>
      <c r="C69" s="146"/>
      <c r="D69" s="146"/>
      <c r="E69" s="146"/>
      <c r="F69" s="146"/>
      <c r="G69" s="146"/>
      <c r="H69" s="146"/>
      <c r="I69" s="146"/>
      <c r="J69" s="146"/>
      <c r="K69" s="146"/>
      <c r="L69" s="146"/>
      <c r="M69" s="146"/>
      <c r="N69" s="146"/>
      <c r="O69" s="146"/>
      <c r="P69" s="146"/>
      <c r="Q69" s="146"/>
      <c r="R69" s="146"/>
      <c r="S69" s="146"/>
      <c r="T69" s="146"/>
      <c r="U69" s="146"/>
      <c r="V69" s="146"/>
      <c r="W69" s="146"/>
      <c r="X69" s="146"/>
      <c r="Y69" s="146"/>
      <c r="Z69" s="146"/>
      <c r="AA69" s="146"/>
      <c r="AB69" s="146"/>
      <c r="AC69" s="146"/>
      <c r="AD69" s="146"/>
      <c r="AE69" s="146"/>
      <c r="AF69" s="146"/>
      <c r="AG69" s="146"/>
      <c r="AH69" s="146"/>
      <c r="AI69" s="146"/>
      <c r="AJ69" s="146"/>
      <c r="AK69" s="146"/>
      <c r="AL69" s="146"/>
      <c r="AM69" s="146"/>
      <c r="AN69" s="146"/>
    </row>
    <row r="70" spans="1:48">
      <c r="A70" s="79"/>
      <c r="B70" s="146"/>
      <c r="C70" s="146"/>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row>
    <row r="71" spans="1:48" hidden="1" outlineLevel="1">
      <c r="A71" s="80" t="s">
        <v>28</v>
      </c>
      <c r="B71" s="80" t="s">
        <v>297</v>
      </c>
    </row>
    <row r="72" spans="1:48" hidden="1" outlineLevel="1">
      <c r="A72" s="80" t="s">
        <v>29</v>
      </c>
      <c r="B72" s="80" t="s">
        <v>298</v>
      </c>
    </row>
    <row r="73" spans="1:48" hidden="1" outlineLevel="1">
      <c r="A73" s="80" t="s">
        <v>30</v>
      </c>
      <c r="B73" s="80" t="s">
        <v>365</v>
      </c>
    </row>
    <row r="74" spans="1:48" hidden="1" outlineLevel="1">
      <c r="A74" s="80" t="s">
        <v>31</v>
      </c>
      <c r="B74" s="80" t="s">
        <v>366</v>
      </c>
    </row>
    <row r="75" spans="1:48" hidden="1" outlineLevel="1">
      <c r="A75" s="80" t="s">
        <v>32</v>
      </c>
      <c r="B75" s="80" t="s">
        <v>367</v>
      </c>
    </row>
    <row r="76" spans="1:48" hidden="1" outlineLevel="1">
      <c r="A76" s="80" t="s">
        <v>33</v>
      </c>
      <c r="B76" s="80" t="s">
        <v>368</v>
      </c>
    </row>
    <row r="77" spans="1:48" hidden="1" outlineLevel="1">
      <c r="A77" s="80" t="s">
        <v>34</v>
      </c>
      <c r="B77" s="80" t="s">
        <v>369</v>
      </c>
    </row>
    <row r="78" spans="1:48" hidden="1" outlineLevel="1">
      <c r="A78" s="80" t="s">
        <v>35</v>
      </c>
      <c r="B78" s="80" t="s">
        <v>370</v>
      </c>
    </row>
    <row r="79" spans="1:48" hidden="1" outlineLevel="1">
      <c r="A79" s="80" t="s">
        <v>36</v>
      </c>
      <c r="B79" s="80" t="s">
        <v>371</v>
      </c>
    </row>
    <row r="80" spans="1:48" hidden="1" outlineLevel="1">
      <c r="A80" s="80" t="s">
        <v>37</v>
      </c>
      <c r="B80" s="80" t="s">
        <v>372</v>
      </c>
    </row>
    <row r="81" spans="1:2" hidden="1" outlineLevel="1">
      <c r="A81" s="80" t="s">
        <v>38</v>
      </c>
      <c r="B81" s="80" t="s">
        <v>76</v>
      </c>
    </row>
    <row r="82" spans="1:2" hidden="1" outlineLevel="1">
      <c r="A82" s="80" t="s">
        <v>39</v>
      </c>
      <c r="B82" s="80" t="s">
        <v>373</v>
      </c>
    </row>
    <row r="83" spans="1:2" hidden="1" outlineLevel="1">
      <c r="A83" s="80" t="s">
        <v>45</v>
      </c>
      <c r="B83" s="80" t="s">
        <v>374</v>
      </c>
    </row>
    <row r="84" spans="1:2" hidden="1" outlineLevel="1">
      <c r="A84" s="80" t="s">
        <v>47</v>
      </c>
      <c r="B84" s="80" t="s">
        <v>375</v>
      </c>
    </row>
    <row r="85" spans="1:2" hidden="1" outlineLevel="1">
      <c r="A85" s="80" t="s">
        <v>49</v>
      </c>
      <c r="B85" s="80" t="s">
        <v>376</v>
      </c>
    </row>
    <row r="86" spans="1:2" hidden="1" outlineLevel="1">
      <c r="A86" s="80" t="s">
        <v>50</v>
      </c>
      <c r="B86" s="80" t="s">
        <v>377</v>
      </c>
    </row>
    <row r="87" spans="1:2" hidden="1" outlineLevel="1">
      <c r="A87" s="80" t="s">
        <v>51</v>
      </c>
      <c r="B87" s="80" t="s">
        <v>69</v>
      </c>
    </row>
    <row r="88" spans="1:2" hidden="1" outlineLevel="1">
      <c r="A88" s="80" t="s">
        <v>52</v>
      </c>
      <c r="B88" s="80" t="s">
        <v>70</v>
      </c>
    </row>
    <row r="89" spans="1:2" hidden="1" outlineLevel="1">
      <c r="A89" s="80" t="s">
        <v>53</v>
      </c>
      <c r="B89" s="80" t="s">
        <v>299</v>
      </c>
    </row>
    <row r="90" spans="1:2" hidden="1" outlineLevel="1">
      <c r="A90" s="80" t="s">
        <v>54</v>
      </c>
      <c r="B90" s="80" t="s">
        <v>300</v>
      </c>
    </row>
    <row r="91" spans="1:2" hidden="1" outlineLevel="1">
      <c r="A91" s="80" t="s">
        <v>55</v>
      </c>
      <c r="B91" s="80" t="s">
        <v>71</v>
      </c>
    </row>
    <row r="92" spans="1:2" hidden="1" outlineLevel="1">
      <c r="A92" s="80" t="s">
        <v>56</v>
      </c>
      <c r="B92" s="80" t="s">
        <v>72</v>
      </c>
    </row>
    <row r="93" spans="1:2" hidden="1" outlineLevel="1">
      <c r="A93" s="80" t="s">
        <v>57</v>
      </c>
      <c r="B93" s="80" t="s">
        <v>73</v>
      </c>
    </row>
    <row r="94" spans="1:2" hidden="1" outlineLevel="1">
      <c r="A94" s="80" t="s">
        <v>58</v>
      </c>
      <c r="B94" s="80" t="s">
        <v>74</v>
      </c>
    </row>
    <row r="95" spans="1:2" hidden="1" outlineLevel="1">
      <c r="A95" s="80" t="s">
        <v>59</v>
      </c>
      <c r="B95" s="80" t="s">
        <v>75</v>
      </c>
    </row>
    <row r="96" spans="1:2" hidden="1" outlineLevel="1">
      <c r="A96" s="80" t="s">
        <v>60</v>
      </c>
      <c r="B96" s="80" t="s">
        <v>76</v>
      </c>
    </row>
    <row r="97" spans="1:2" hidden="1" outlineLevel="1">
      <c r="A97" s="80" t="s">
        <v>61</v>
      </c>
      <c r="B97" s="80" t="s">
        <v>77</v>
      </c>
    </row>
    <row r="98" spans="1:2" hidden="1" outlineLevel="1">
      <c r="A98" s="80" t="s">
        <v>62</v>
      </c>
      <c r="B98" s="80" t="s">
        <v>78</v>
      </c>
    </row>
    <row r="99" spans="1:2" hidden="1" outlineLevel="1">
      <c r="A99" s="80" t="s">
        <v>63</v>
      </c>
      <c r="B99" s="80" t="s">
        <v>378</v>
      </c>
    </row>
    <row r="100" spans="1:2" hidden="1" outlineLevel="1">
      <c r="A100" s="80" t="s">
        <v>285</v>
      </c>
      <c r="B100" s="80" t="s">
        <v>284</v>
      </c>
    </row>
    <row r="101" spans="1:2" hidden="1" outlineLevel="1">
      <c r="A101" s="80" t="s">
        <v>286</v>
      </c>
      <c r="B101" s="80" t="s">
        <v>379</v>
      </c>
    </row>
    <row r="102" spans="1:2" hidden="1" outlineLevel="1">
      <c r="A102" s="80" t="s">
        <v>289</v>
      </c>
      <c r="B102" s="80" t="s">
        <v>79</v>
      </c>
    </row>
    <row r="103" spans="1:2" hidden="1" outlineLevel="1">
      <c r="A103" s="80" t="s">
        <v>301</v>
      </c>
      <c r="B103" s="80" t="s">
        <v>48</v>
      </c>
    </row>
    <row r="104" spans="1:2" hidden="1" outlineLevel="1">
      <c r="A104" s="80" t="s">
        <v>302</v>
      </c>
      <c r="B104" s="80" t="s">
        <v>46</v>
      </c>
    </row>
    <row r="105" spans="1:2" hidden="1" outlineLevel="1">
      <c r="A105" s="80" t="s">
        <v>303</v>
      </c>
      <c r="B105" s="80" t="s">
        <v>380</v>
      </c>
    </row>
    <row r="106" spans="1:2" hidden="1" outlineLevel="1">
      <c r="A106" s="80" t="s">
        <v>340</v>
      </c>
      <c r="B106" s="80" t="s">
        <v>381</v>
      </c>
    </row>
    <row r="107" spans="1:2" hidden="1" outlineLevel="1">
      <c r="A107" s="80" t="s">
        <v>304</v>
      </c>
      <c r="B107" s="80" t="s">
        <v>387</v>
      </c>
    </row>
    <row r="108" spans="1:2" hidden="1" outlineLevel="1">
      <c r="A108" s="80" t="s">
        <v>305</v>
      </c>
      <c r="B108" s="80" t="s">
        <v>318</v>
      </c>
    </row>
    <row r="109" spans="1:2" hidden="1" outlineLevel="1">
      <c r="A109" s="80" t="s">
        <v>41</v>
      </c>
      <c r="B109" s="80" t="s">
        <v>307</v>
      </c>
    </row>
    <row r="110" spans="1:2" hidden="1" outlineLevel="1">
      <c r="A110" s="80" t="s">
        <v>309</v>
      </c>
      <c r="B110" s="80" t="s">
        <v>310</v>
      </c>
    </row>
    <row r="111" spans="1:2" hidden="1" outlineLevel="1">
      <c r="A111" s="80" t="s">
        <v>311</v>
      </c>
      <c r="B111" s="80" t="s">
        <v>308</v>
      </c>
    </row>
    <row r="112" spans="1:2" hidden="1" outlineLevel="1">
      <c r="A112" s="80" t="s">
        <v>43</v>
      </c>
      <c r="B112" s="80" t="s">
        <v>319</v>
      </c>
    </row>
    <row r="113" spans="1:43" hidden="1" outlineLevel="1">
      <c r="A113" s="80" t="s">
        <v>44</v>
      </c>
      <c r="B113" s="80" t="s">
        <v>313</v>
      </c>
    </row>
    <row r="114" spans="1:43" collapsed="1">
      <c r="AQ114" s="150"/>
    </row>
    <row r="115" spans="1:43">
      <c r="A115" s="80" t="s">
        <v>319</v>
      </c>
      <c r="B115" s="80" t="s">
        <v>314</v>
      </c>
      <c r="C115" s="80" t="s">
        <v>235</v>
      </c>
      <c r="D115" s="80" t="s">
        <v>236</v>
      </c>
      <c r="E115" s="80" t="s">
        <v>237</v>
      </c>
      <c r="F115" s="80" t="s">
        <v>238</v>
      </c>
      <c r="G115" s="80" t="s">
        <v>383</v>
      </c>
      <c r="H115" s="80" t="s">
        <v>239</v>
      </c>
      <c r="I115" s="80" t="s">
        <v>240</v>
      </c>
      <c r="J115" s="80" t="s">
        <v>241</v>
      </c>
      <c r="K115" s="80" t="s">
        <v>110</v>
      </c>
      <c r="L115" s="80" t="s">
        <v>242</v>
      </c>
      <c r="M115" s="80" t="s">
        <v>243</v>
      </c>
      <c r="N115" s="80" t="s">
        <v>266</v>
      </c>
      <c r="O115" s="80" t="s">
        <v>267</v>
      </c>
      <c r="P115" s="80" t="s">
        <v>268</v>
      </c>
      <c r="Q115" s="80" t="s">
        <v>103</v>
      </c>
      <c r="R115" s="80" t="s">
        <v>104</v>
      </c>
      <c r="S115" s="80" t="s">
        <v>316</v>
      </c>
      <c r="T115" s="80" t="s">
        <v>317</v>
      </c>
      <c r="U115" s="80" t="s">
        <v>105</v>
      </c>
      <c r="V115" s="80" t="s">
        <v>106</v>
      </c>
      <c r="W115" s="80" t="s">
        <v>107</v>
      </c>
      <c r="X115" s="80" t="s">
        <v>108</v>
      </c>
      <c r="Y115" s="80" t="s">
        <v>109</v>
      </c>
      <c r="Z115" s="80" t="s">
        <v>110</v>
      </c>
      <c r="AA115" s="80" t="s">
        <v>111</v>
      </c>
      <c r="AB115" s="80" t="s">
        <v>112</v>
      </c>
      <c r="AC115" s="80" t="s">
        <v>384</v>
      </c>
      <c r="AD115" s="80" t="s">
        <v>287</v>
      </c>
      <c r="AE115" s="80" t="s">
        <v>385</v>
      </c>
      <c r="AF115" s="80" t="s">
        <v>114</v>
      </c>
      <c r="AG115" s="80" t="s">
        <v>64</v>
      </c>
      <c r="AH115" s="80" t="s">
        <v>2</v>
      </c>
      <c r="AI115" s="80" t="s">
        <v>346</v>
      </c>
      <c r="AJ115" s="80" t="s">
        <v>354</v>
      </c>
      <c r="AK115" s="80" t="s">
        <v>64</v>
      </c>
      <c r="AL115" s="80" t="s">
        <v>2</v>
      </c>
    </row>
    <row r="116" spans="1:43">
      <c r="A116" s="80" t="s">
        <v>9</v>
      </c>
      <c r="B116" s="80" t="s">
        <v>10</v>
      </c>
      <c r="C116" s="80">
        <v>6.7280457E-3</v>
      </c>
      <c r="D116" s="80">
        <v>3.1135800000000002E-4</v>
      </c>
      <c r="E116" s="80">
        <v>3.756601E-3</v>
      </c>
      <c r="F116" s="80">
        <v>2.2533358E-2</v>
      </c>
      <c r="G116" s="80">
        <v>5.7711782000000001E-3</v>
      </c>
      <c r="H116" s="80">
        <v>3.0088476999999997E-4</v>
      </c>
      <c r="I116" s="82">
        <v>1.1774151000000001E-5</v>
      </c>
      <c r="J116" s="80">
        <v>3.0772982000000001E-3</v>
      </c>
      <c r="K116" s="80">
        <v>0.10179494</v>
      </c>
      <c r="L116" s="80">
        <v>3.4345997999999998E-3</v>
      </c>
      <c r="M116" s="80">
        <v>3.4647799000000002E-3</v>
      </c>
      <c r="N116" s="80">
        <v>0.27397057000000002</v>
      </c>
      <c r="O116" s="80">
        <v>0.38361422000000001</v>
      </c>
      <c r="P116" s="80">
        <v>0.31588511000000002</v>
      </c>
      <c r="Q116" s="80">
        <v>1.0217103999999999</v>
      </c>
      <c r="R116" s="80">
        <v>0.98266370000000003</v>
      </c>
      <c r="S116" s="80">
        <v>0.75663533000000005</v>
      </c>
      <c r="T116" s="80">
        <v>0.10785805</v>
      </c>
      <c r="U116" s="80">
        <v>0.80566159999999998</v>
      </c>
      <c r="V116" s="80">
        <v>0.74962375000000003</v>
      </c>
      <c r="W116" s="80">
        <v>1.9424196</v>
      </c>
      <c r="X116" s="80">
        <v>1.7847982</v>
      </c>
      <c r="Y116" s="80">
        <v>2.1342243000000001</v>
      </c>
      <c r="Z116" s="80">
        <v>0.10179494</v>
      </c>
      <c r="AA116" s="80">
        <v>0.43846236999999999</v>
      </c>
      <c r="AB116" s="80">
        <v>3.2957281999999997E-2</v>
      </c>
      <c r="AC116" s="80">
        <v>0.61562216999999997</v>
      </c>
      <c r="AD116" s="80">
        <v>1.2579408E-2</v>
      </c>
      <c r="AE116" s="80">
        <v>0.63665727000000005</v>
      </c>
      <c r="AF116" s="80">
        <v>1.4963205000000001E-4</v>
      </c>
      <c r="AG116" s="80">
        <v>3.8026181999999999E-2</v>
      </c>
      <c r="AH116" s="80">
        <v>0.19432759999999999</v>
      </c>
      <c r="AI116" s="80">
        <v>6.7280457E-3</v>
      </c>
      <c r="AJ116" s="80">
        <v>1.7099661999999999E-3</v>
      </c>
      <c r="AK116" s="80">
        <v>3.7900486999999997E-2</v>
      </c>
      <c r="AL116" s="80">
        <v>0.19465774</v>
      </c>
    </row>
    <row r="121" spans="1:43">
      <c r="A121" s="79"/>
    </row>
    <row r="122" spans="1:43" hidden="1" outlineLevel="1">
      <c r="A122" s="80" t="s">
        <v>28</v>
      </c>
      <c r="B122" s="80" t="s">
        <v>297</v>
      </c>
    </row>
    <row r="123" spans="1:43" hidden="1" outlineLevel="1">
      <c r="A123" s="80" t="s">
        <v>29</v>
      </c>
      <c r="B123" s="80" t="s">
        <v>298</v>
      </c>
    </row>
    <row r="124" spans="1:43" hidden="1" outlineLevel="1">
      <c r="A124" s="80" t="s">
        <v>30</v>
      </c>
      <c r="B124" s="80" t="s">
        <v>365</v>
      </c>
    </row>
    <row r="125" spans="1:43" hidden="1" outlineLevel="1">
      <c r="A125" s="80" t="s">
        <v>31</v>
      </c>
      <c r="B125" s="80" t="s">
        <v>366</v>
      </c>
    </row>
    <row r="126" spans="1:43" hidden="1" outlineLevel="1">
      <c r="A126" s="80" t="s">
        <v>32</v>
      </c>
      <c r="B126" s="80" t="s">
        <v>367</v>
      </c>
    </row>
    <row r="127" spans="1:43" hidden="1" outlineLevel="1">
      <c r="A127" s="80" t="s">
        <v>33</v>
      </c>
      <c r="B127" s="80" t="s">
        <v>368</v>
      </c>
    </row>
    <row r="128" spans="1:43" hidden="1" outlineLevel="1">
      <c r="A128" s="80" t="s">
        <v>34</v>
      </c>
      <c r="B128" s="80" t="s">
        <v>369</v>
      </c>
    </row>
    <row r="129" spans="1:2" hidden="1" outlineLevel="1">
      <c r="A129" s="80" t="s">
        <v>35</v>
      </c>
      <c r="B129" s="80" t="s">
        <v>370</v>
      </c>
    </row>
    <row r="130" spans="1:2" hidden="1" outlineLevel="1">
      <c r="A130" s="80" t="s">
        <v>36</v>
      </c>
      <c r="B130" s="80" t="s">
        <v>371</v>
      </c>
    </row>
    <row r="131" spans="1:2" hidden="1" outlineLevel="1">
      <c r="A131" s="80" t="s">
        <v>37</v>
      </c>
      <c r="B131" s="80" t="s">
        <v>372</v>
      </c>
    </row>
    <row r="132" spans="1:2" hidden="1" outlineLevel="1">
      <c r="A132" s="80" t="s">
        <v>38</v>
      </c>
      <c r="B132" s="80" t="s">
        <v>76</v>
      </c>
    </row>
    <row r="133" spans="1:2" hidden="1" outlineLevel="1">
      <c r="A133" s="80" t="s">
        <v>39</v>
      </c>
      <c r="B133" s="80" t="s">
        <v>373</v>
      </c>
    </row>
    <row r="134" spans="1:2" hidden="1" outlineLevel="1">
      <c r="A134" s="80" t="s">
        <v>45</v>
      </c>
      <c r="B134" s="80" t="s">
        <v>374</v>
      </c>
    </row>
    <row r="135" spans="1:2" hidden="1" outlineLevel="1">
      <c r="A135" s="80" t="s">
        <v>47</v>
      </c>
      <c r="B135" s="80" t="s">
        <v>375</v>
      </c>
    </row>
    <row r="136" spans="1:2" hidden="1" outlineLevel="1">
      <c r="A136" s="80" t="s">
        <v>49</v>
      </c>
      <c r="B136" s="80" t="s">
        <v>376</v>
      </c>
    </row>
    <row r="137" spans="1:2" hidden="1" outlineLevel="1">
      <c r="A137" s="80" t="s">
        <v>50</v>
      </c>
      <c r="B137" s="80" t="s">
        <v>377</v>
      </c>
    </row>
    <row r="138" spans="1:2" hidden="1" outlineLevel="1">
      <c r="A138" s="80" t="s">
        <v>51</v>
      </c>
      <c r="B138" s="80" t="s">
        <v>69</v>
      </c>
    </row>
    <row r="139" spans="1:2" hidden="1" outlineLevel="1">
      <c r="A139" s="80" t="s">
        <v>52</v>
      </c>
      <c r="B139" s="80" t="s">
        <v>70</v>
      </c>
    </row>
    <row r="140" spans="1:2" hidden="1" outlineLevel="1">
      <c r="A140" s="80" t="s">
        <v>53</v>
      </c>
      <c r="B140" s="80" t="s">
        <v>299</v>
      </c>
    </row>
    <row r="141" spans="1:2" hidden="1" outlineLevel="1">
      <c r="A141" s="80" t="s">
        <v>54</v>
      </c>
      <c r="B141" s="80" t="s">
        <v>300</v>
      </c>
    </row>
    <row r="142" spans="1:2" hidden="1" outlineLevel="1">
      <c r="A142" s="80" t="s">
        <v>55</v>
      </c>
      <c r="B142" s="80" t="s">
        <v>71</v>
      </c>
    </row>
    <row r="143" spans="1:2" hidden="1" outlineLevel="1">
      <c r="A143" s="80" t="s">
        <v>56</v>
      </c>
      <c r="B143" s="80" t="s">
        <v>72</v>
      </c>
    </row>
    <row r="144" spans="1:2" hidden="1" outlineLevel="1">
      <c r="A144" s="80" t="s">
        <v>57</v>
      </c>
      <c r="B144" s="80" t="s">
        <v>73</v>
      </c>
    </row>
    <row r="145" spans="1:2" hidden="1" outlineLevel="1">
      <c r="A145" s="80" t="s">
        <v>58</v>
      </c>
      <c r="B145" s="80" t="s">
        <v>74</v>
      </c>
    </row>
    <row r="146" spans="1:2" hidden="1" outlineLevel="1">
      <c r="A146" s="80" t="s">
        <v>59</v>
      </c>
      <c r="B146" s="80" t="s">
        <v>75</v>
      </c>
    </row>
    <row r="147" spans="1:2" hidden="1" outlineLevel="1">
      <c r="A147" s="80" t="s">
        <v>60</v>
      </c>
      <c r="B147" s="80" t="s">
        <v>76</v>
      </c>
    </row>
    <row r="148" spans="1:2" hidden="1" outlineLevel="1">
      <c r="A148" s="80" t="s">
        <v>61</v>
      </c>
      <c r="B148" s="80" t="s">
        <v>77</v>
      </c>
    </row>
    <row r="149" spans="1:2" hidden="1" outlineLevel="1">
      <c r="A149" s="80" t="s">
        <v>62</v>
      </c>
      <c r="B149" s="80" t="s">
        <v>78</v>
      </c>
    </row>
    <row r="150" spans="1:2" hidden="1" outlineLevel="1">
      <c r="A150" s="80" t="s">
        <v>63</v>
      </c>
      <c r="B150" s="80" t="s">
        <v>378</v>
      </c>
    </row>
    <row r="151" spans="1:2" hidden="1" outlineLevel="1">
      <c r="A151" s="80" t="s">
        <v>285</v>
      </c>
      <c r="B151" s="80" t="s">
        <v>284</v>
      </c>
    </row>
    <row r="152" spans="1:2" hidden="1" outlineLevel="1">
      <c r="A152" s="80" t="s">
        <v>286</v>
      </c>
      <c r="B152" s="80" t="s">
        <v>379</v>
      </c>
    </row>
    <row r="153" spans="1:2" hidden="1" outlineLevel="1">
      <c r="A153" s="80" t="s">
        <v>289</v>
      </c>
      <c r="B153" s="80" t="s">
        <v>79</v>
      </c>
    </row>
    <row r="154" spans="1:2" hidden="1" outlineLevel="1">
      <c r="A154" s="80" t="s">
        <v>301</v>
      </c>
      <c r="B154" s="80" t="s">
        <v>48</v>
      </c>
    </row>
    <row r="155" spans="1:2" hidden="1" outlineLevel="1">
      <c r="A155" s="80" t="s">
        <v>302</v>
      </c>
      <c r="B155" s="80" t="s">
        <v>46</v>
      </c>
    </row>
    <row r="156" spans="1:2" hidden="1" outlineLevel="1">
      <c r="A156" s="80" t="s">
        <v>303</v>
      </c>
      <c r="B156" s="80" t="s">
        <v>380</v>
      </c>
    </row>
    <row r="157" spans="1:2" hidden="1" outlineLevel="1">
      <c r="A157" s="80" t="s">
        <v>340</v>
      </c>
      <c r="B157" s="80" t="s">
        <v>381</v>
      </c>
    </row>
    <row r="158" spans="1:2" hidden="1" outlineLevel="1">
      <c r="A158" s="80" t="s">
        <v>304</v>
      </c>
      <c r="B158" s="80" t="s">
        <v>65</v>
      </c>
    </row>
    <row r="159" spans="1:2" hidden="1" outlineLevel="1">
      <c r="A159" s="80" t="s">
        <v>305</v>
      </c>
      <c r="B159" s="80" t="s">
        <v>306</v>
      </c>
    </row>
    <row r="160" spans="1:2" hidden="1" outlineLevel="1">
      <c r="A160" s="80" t="s">
        <v>41</v>
      </c>
      <c r="B160" s="80" t="s">
        <v>307</v>
      </c>
    </row>
    <row r="161" spans="1:38" hidden="1" outlineLevel="1">
      <c r="A161" s="80" t="s">
        <v>84</v>
      </c>
      <c r="B161" s="80" t="s">
        <v>308</v>
      </c>
    </row>
    <row r="162" spans="1:38" hidden="1" outlineLevel="1">
      <c r="A162" s="80" t="s">
        <v>309</v>
      </c>
      <c r="B162" s="80" t="s">
        <v>310</v>
      </c>
    </row>
    <row r="163" spans="1:38" hidden="1" outlineLevel="1">
      <c r="A163" s="80" t="s">
        <v>311</v>
      </c>
      <c r="B163" s="80" t="s">
        <v>308</v>
      </c>
    </row>
    <row r="164" spans="1:38" hidden="1" outlineLevel="1">
      <c r="A164" s="80" t="s">
        <v>43</v>
      </c>
      <c r="B164" s="80" t="s">
        <v>319</v>
      </c>
    </row>
    <row r="165" spans="1:38" hidden="1" outlineLevel="1">
      <c r="A165" s="80" t="s">
        <v>44</v>
      </c>
      <c r="B165" s="80" t="s">
        <v>313</v>
      </c>
    </row>
    <row r="166" spans="1:38" collapsed="1"/>
    <row r="167" spans="1:38">
      <c r="A167" s="80" t="s">
        <v>319</v>
      </c>
      <c r="B167" s="80" t="s">
        <v>314</v>
      </c>
      <c r="C167" s="80" t="s">
        <v>235</v>
      </c>
      <c r="D167" s="80" t="s">
        <v>236</v>
      </c>
      <c r="E167" s="80" t="s">
        <v>237</v>
      </c>
      <c r="F167" s="80" t="s">
        <v>238</v>
      </c>
      <c r="G167" s="80" t="s">
        <v>383</v>
      </c>
      <c r="H167" s="80" t="s">
        <v>239</v>
      </c>
      <c r="I167" s="80" t="s">
        <v>240</v>
      </c>
      <c r="J167" s="80" t="s">
        <v>241</v>
      </c>
      <c r="K167" s="80" t="s">
        <v>110</v>
      </c>
      <c r="L167" s="80" t="s">
        <v>242</v>
      </c>
      <c r="M167" s="80" t="s">
        <v>243</v>
      </c>
      <c r="N167" s="80" t="s">
        <v>266</v>
      </c>
      <c r="O167" s="80" t="s">
        <v>267</v>
      </c>
      <c r="P167" s="80" t="s">
        <v>268</v>
      </c>
      <c r="Q167" s="80" t="s">
        <v>103</v>
      </c>
      <c r="R167" s="80" t="s">
        <v>104</v>
      </c>
      <c r="S167" s="80" t="s">
        <v>316</v>
      </c>
      <c r="T167" s="80" t="s">
        <v>317</v>
      </c>
      <c r="U167" s="80" t="s">
        <v>105</v>
      </c>
      <c r="V167" s="80" t="s">
        <v>106</v>
      </c>
      <c r="W167" s="80" t="s">
        <v>107</v>
      </c>
      <c r="X167" s="80" t="s">
        <v>108</v>
      </c>
      <c r="Y167" s="80" t="s">
        <v>109</v>
      </c>
      <c r="Z167" s="80" t="s">
        <v>110</v>
      </c>
      <c r="AA167" s="80" t="s">
        <v>111</v>
      </c>
      <c r="AB167" s="80" t="s">
        <v>112</v>
      </c>
      <c r="AC167" s="80" t="s">
        <v>384</v>
      </c>
      <c r="AD167" s="80" t="s">
        <v>287</v>
      </c>
      <c r="AE167" s="80" t="s">
        <v>385</v>
      </c>
      <c r="AF167" s="80" t="s">
        <v>114</v>
      </c>
      <c r="AG167" s="80" t="s">
        <v>64</v>
      </c>
      <c r="AH167" s="80" t="s">
        <v>2</v>
      </c>
      <c r="AI167" s="80" t="s">
        <v>346</v>
      </c>
      <c r="AJ167" s="80" t="s">
        <v>354</v>
      </c>
      <c r="AK167" s="80" t="s">
        <v>64</v>
      </c>
      <c r="AL167" s="80" t="s">
        <v>2</v>
      </c>
    </row>
    <row r="168" spans="1:38">
      <c r="A168" s="80" t="s">
        <v>7</v>
      </c>
      <c r="B168" s="80" t="s">
        <v>66</v>
      </c>
      <c r="C168" s="80">
        <v>4.3981766999999998E-2</v>
      </c>
      <c r="D168" s="80">
        <v>7.0381491000000001E-3</v>
      </c>
      <c r="E168" s="80">
        <v>4.3155403999999998E-3</v>
      </c>
      <c r="F168" s="80">
        <v>0.32197184000000001</v>
      </c>
      <c r="G168" s="82">
        <v>8.4269601E-5</v>
      </c>
      <c r="H168" s="80">
        <v>1.9672436999999998E-3</v>
      </c>
      <c r="I168" s="80">
        <v>2.6601681000000001E-4</v>
      </c>
      <c r="J168" s="80">
        <v>6.9567263000000004E-2</v>
      </c>
      <c r="K168" s="80">
        <v>9.0594920000000005</v>
      </c>
      <c r="L168" s="80">
        <v>4.4780984000000003E-2</v>
      </c>
      <c r="M168" s="80">
        <v>4.5193255000000002E-2</v>
      </c>
      <c r="N168" s="80">
        <v>4.5104226000000001</v>
      </c>
      <c r="O168" s="80">
        <v>1.6215519</v>
      </c>
      <c r="P168" s="80">
        <v>8.5511616999999998</v>
      </c>
      <c r="Q168" s="80">
        <v>19.532069</v>
      </c>
      <c r="R168" s="80">
        <v>5.5547928999999998</v>
      </c>
      <c r="S168" s="80">
        <v>4.2638806999999996</v>
      </c>
      <c r="T168" s="80">
        <v>1.8329378000000001</v>
      </c>
      <c r="U168" s="80">
        <v>15.287551000000001</v>
      </c>
      <c r="V168" s="80">
        <v>13.924802</v>
      </c>
      <c r="W168" s="80">
        <v>63.419935000000002</v>
      </c>
      <c r="X168" s="80">
        <v>24.859680000000001</v>
      </c>
      <c r="Y168" s="80">
        <v>41.033408000000001</v>
      </c>
      <c r="Z168" s="80">
        <v>9.0594920000000005</v>
      </c>
      <c r="AA168" s="80">
        <v>5.1724734000000003</v>
      </c>
      <c r="AB168" s="80">
        <v>1.4466564</v>
      </c>
      <c r="AC168" s="80">
        <v>54.237850999999999</v>
      </c>
      <c r="AD168" s="80">
        <v>1.1513690999999999</v>
      </c>
      <c r="AE168" s="80">
        <v>54.859124000000001</v>
      </c>
      <c r="AF168" s="80">
        <v>4.9611376999999998E-3</v>
      </c>
      <c r="AG168" s="80">
        <v>0.67223445000000004</v>
      </c>
      <c r="AH168" s="80">
        <v>3.2034688</v>
      </c>
      <c r="AI168" s="80">
        <v>4.3981766999999998E-2</v>
      </c>
      <c r="AJ168" s="80">
        <v>1.1184209000000001E-2</v>
      </c>
      <c r="AK168" s="80">
        <v>0.67059853000000003</v>
      </c>
      <c r="AL168" s="80">
        <v>3.2025207</v>
      </c>
    </row>
    <row r="169" spans="1:38">
      <c r="A169" s="80" t="s">
        <v>11</v>
      </c>
      <c r="B169" s="80" t="s">
        <v>66</v>
      </c>
      <c r="C169" s="80">
        <v>3.7469163999999999E-2</v>
      </c>
      <c r="D169" s="80">
        <v>6.7206395999999998E-3</v>
      </c>
      <c r="E169" s="80">
        <v>3.7155888E-3</v>
      </c>
      <c r="F169" s="80">
        <v>0.31568456</v>
      </c>
      <c r="G169" s="82">
        <v>6.8079189999999996E-5</v>
      </c>
      <c r="H169" s="80">
        <v>1.6759892E-3</v>
      </c>
      <c r="I169" s="80">
        <v>2.5401797999999998E-4</v>
      </c>
      <c r="J169" s="80">
        <v>6.6429255000000006E-2</v>
      </c>
      <c r="K169" s="80">
        <v>1.2414366999999999</v>
      </c>
      <c r="L169" s="80">
        <v>4.0647394000000003E-2</v>
      </c>
      <c r="M169" s="80">
        <v>4.0891973999999998E-2</v>
      </c>
      <c r="N169" s="80">
        <v>2.7510767999999999</v>
      </c>
      <c r="O169" s="80">
        <v>1.2032733</v>
      </c>
      <c r="P169" s="80">
        <v>4.3290417999999997</v>
      </c>
      <c r="Q169" s="80">
        <v>12.531304</v>
      </c>
      <c r="R169" s="80">
        <v>5.0224906999999996</v>
      </c>
      <c r="S169" s="80">
        <v>3.8766254999999998</v>
      </c>
      <c r="T169" s="80">
        <v>1.4060474000000001</v>
      </c>
      <c r="U169" s="80">
        <v>10.704404</v>
      </c>
      <c r="V169" s="80">
        <v>9.1849065999999997</v>
      </c>
      <c r="W169" s="80">
        <v>59.985295999999998</v>
      </c>
      <c r="X169" s="80">
        <v>20.386944</v>
      </c>
      <c r="Y169" s="80">
        <v>40.130274999999997</v>
      </c>
      <c r="Z169" s="80">
        <v>1.2414366999999999</v>
      </c>
      <c r="AA169" s="80">
        <v>4.5043801999999999</v>
      </c>
      <c r="AB169" s="80">
        <v>1.4358839000000001</v>
      </c>
      <c r="AC169" s="80">
        <v>53.695363</v>
      </c>
      <c r="AD169" s="80">
        <v>1.1486810000000001</v>
      </c>
      <c r="AE169" s="80">
        <v>54.348391999999997</v>
      </c>
      <c r="AF169" s="80">
        <v>1.4883919E-3</v>
      </c>
      <c r="AG169" s="80">
        <v>0.48674073000000001</v>
      </c>
      <c r="AH169" s="80">
        <v>3.0399478000000002</v>
      </c>
      <c r="AI169" s="80">
        <v>3.7469163999999999E-2</v>
      </c>
      <c r="AJ169" s="80">
        <v>9.5289195999999996E-3</v>
      </c>
      <c r="AK169" s="80">
        <v>0.48471788999999998</v>
      </c>
      <c r="AL169" s="80">
        <v>3.0361299000000002</v>
      </c>
    </row>
    <row r="170" spans="1:38">
      <c r="A170" s="80" t="s">
        <v>12</v>
      </c>
      <c r="B170" s="80" t="s">
        <v>66</v>
      </c>
      <c r="C170" s="80">
        <v>6.5125421000000001E-3</v>
      </c>
      <c r="D170" s="80">
        <v>3.1749394E-4</v>
      </c>
      <c r="E170" s="80">
        <v>5.9994743E-4</v>
      </c>
      <c r="F170" s="80">
        <v>6.2870471999999997E-3</v>
      </c>
      <c r="G170" s="82">
        <v>1.6190310000000001E-5</v>
      </c>
      <c r="H170" s="80">
        <v>2.9125176999999998E-4</v>
      </c>
      <c r="I170" s="82">
        <v>1.1998241E-5</v>
      </c>
      <c r="J170" s="80">
        <v>3.1378542999999999E-3</v>
      </c>
      <c r="K170" s="80">
        <v>7.8180541999999997</v>
      </c>
      <c r="L170" s="80">
        <v>4.1335408000000001E-3</v>
      </c>
      <c r="M170" s="80">
        <v>4.3012310999999996E-3</v>
      </c>
      <c r="N170" s="80">
        <v>1.7593437999999999</v>
      </c>
      <c r="O170" s="80">
        <v>0.41827776</v>
      </c>
      <c r="P170" s="80">
        <v>4.2221165000000003</v>
      </c>
      <c r="Q170" s="80">
        <v>7.0007561999999997</v>
      </c>
      <c r="R170" s="80">
        <v>0.53225487999999999</v>
      </c>
      <c r="S170" s="80">
        <v>0.38720954000000002</v>
      </c>
      <c r="T170" s="80">
        <v>0.4268882</v>
      </c>
      <c r="U170" s="80">
        <v>4.5831382999999999</v>
      </c>
      <c r="V170" s="80">
        <v>4.7398851000000004</v>
      </c>
      <c r="W170" s="80">
        <v>3.4346279000000002</v>
      </c>
      <c r="X170" s="80">
        <v>4.4713412000000003</v>
      </c>
      <c r="Y170" s="80">
        <v>0.90308798000000001</v>
      </c>
      <c r="Z170" s="80">
        <v>7.8180541999999997</v>
      </c>
      <c r="AA170" s="80">
        <v>0.66807402000000005</v>
      </c>
      <c r="AB170" s="80">
        <v>1.0772479E-2</v>
      </c>
      <c r="AC170" s="80">
        <v>0.54242674000000002</v>
      </c>
      <c r="AD170" s="80">
        <v>2.6865510000000001E-3</v>
      </c>
      <c r="AE170" s="80">
        <v>0.51065961000000004</v>
      </c>
      <c r="AF170" s="80">
        <v>3.4727440999999999E-3</v>
      </c>
      <c r="AG170" s="80">
        <v>0.1854932</v>
      </c>
      <c r="AH170" s="80">
        <v>0.16351178</v>
      </c>
      <c r="AI170" s="80">
        <v>6.5125421000000001E-3</v>
      </c>
      <c r="AJ170" s="80">
        <v>1.6552742E-3</v>
      </c>
      <c r="AK170" s="80">
        <v>0.18588018000000001</v>
      </c>
      <c r="AL170" s="80">
        <v>0.16638222</v>
      </c>
    </row>
    <row r="171" spans="1:38">
      <c r="A171" s="80" t="s">
        <v>115</v>
      </c>
      <c r="B171" s="80" t="s">
        <v>66</v>
      </c>
      <c r="C171" s="80">
        <v>0</v>
      </c>
      <c r="D171" s="80">
        <v>0</v>
      </c>
      <c r="E171" s="80">
        <v>0</v>
      </c>
      <c r="F171" s="80">
        <v>0</v>
      </c>
      <c r="G171" s="80">
        <v>0</v>
      </c>
      <c r="H171" s="80">
        <v>0</v>
      </c>
      <c r="I171" s="80">
        <v>0</v>
      </c>
      <c r="J171" s="80">
        <v>0</v>
      </c>
      <c r="K171" s="80">
        <v>0</v>
      </c>
      <c r="L171" s="80">
        <v>0</v>
      </c>
      <c r="M171" s="80">
        <v>0</v>
      </c>
      <c r="N171" s="80">
        <v>0</v>
      </c>
      <c r="O171" s="80">
        <v>0</v>
      </c>
      <c r="P171" s="80">
        <v>0</v>
      </c>
      <c r="Q171" s="80">
        <v>0</v>
      </c>
      <c r="R171" s="80">
        <v>0</v>
      </c>
      <c r="S171" s="80">
        <v>0</v>
      </c>
      <c r="T171" s="80">
        <v>0</v>
      </c>
      <c r="U171" s="80">
        <v>0</v>
      </c>
      <c r="V171" s="80">
        <v>0</v>
      </c>
      <c r="W171" s="80">
        <v>0</v>
      </c>
      <c r="X171" s="80">
        <v>0</v>
      </c>
      <c r="Y171" s="80">
        <v>0</v>
      </c>
      <c r="Z171" s="80">
        <v>0</v>
      </c>
      <c r="AA171" s="80">
        <v>0</v>
      </c>
      <c r="AB171" s="80">
        <v>0</v>
      </c>
      <c r="AC171" s="80">
        <v>0</v>
      </c>
      <c r="AD171" s="80">
        <v>0</v>
      </c>
      <c r="AE171" s="80">
        <v>0</v>
      </c>
      <c r="AF171" s="80">
        <v>0</v>
      </c>
      <c r="AG171" s="80">
        <v>0</v>
      </c>
      <c r="AH171" s="80">
        <v>0</v>
      </c>
      <c r="AI171" s="80">
        <v>0</v>
      </c>
      <c r="AJ171" s="80">
        <v>0</v>
      </c>
      <c r="AK171" s="80">
        <v>0</v>
      </c>
      <c r="AL171" s="80">
        <v>0</v>
      </c>
    </row>
    <row r="172" spans="1:38">
      <c r="A172" s="80" t="s">
        <v>116</v>
      </c>
      <c r="B172" s="80" t="s">
        <v>66</v>
      </c>
      <c r="C172" s="80">
        <v>0</v>
      </c>
      <c r="D172" s="80">
        <v>0</v>
      </c>
      <c r="E172" s="80">
        <v>0</v>
      </c>
      <c r="F172" s="80">
        <v>0</v>
      </c>
      <c r="G172" s="80">
        <v>0</v>
      </c>
      <c r="H172" s="80">
        <v>0</v>
      </c>
      <c r="I172" s="80">
        <v>0</v>
      </c>
      <c r="J172" s="80">
        <v>0</v>
      </c>
      <c r="K172" s="80">
        <v>0</v>
      </c>
      <c r="L172" s="80">
        <v>0</v>
      </c>
      <c r="M172" s="80">
        <v>0</v>
      </c>
      <c r="N172" s="80">
        <v>0</v>
      </c>
      <c r="O172" s="80">
        <v>0</v>
      </c>
      <c r="P172" s="80">
        <v>0</v>
      </c>
      <c r="Q172" s="80">
        <v>0</v>
      </c>
      <c r="R172" s="80">
        <v>0</v>
      </c>
      <c r="S172" s="80">
        <v>0</v>
      </c>
      <c r="T172" s="80">
        <v>0</v>
      </c>
      <c r="U172" s="80">
        <v>0</v>
      </c>
      <c r="V172" s="80">
        <v>0</v>
      </c>
      <c r="W172" s="80">
        <v>0</v>
      </c>
      <c r="X172" s="80">
        <v>0</v>
      </c>
      <c r="Y172" s="80">
        <v>0</v>
      </c>
      <c r="Z172" s="80">
        <v>0</v>
      </c>
      <c r="AA172" s="80">
        <v>0</v>
      </c>
      <c r="AB172" s="80">
        <v>0</v>
      </c>
      <c r="AC172" s="80">
        <v>0</v>
      </c>
      <c r="AD172" s="80">
        <v>0</v>
      </c>
      <c r="AE172" s="80">
        <v>0</v>
      </c>
      <c r="AF172" s="80">
        <v>0</v>
      </c>
      <c r="AG172" s="80">
        <v>0</v>
      </c>
      <c r="AH172" s="80">
        <v>0</v>
      </c>
      <c r="AI172" s="80">
        <v>0</v>
      </c>
      <c r="AJ172" s="80">
        <v>0</v>
      </c>
      <c r="AK172" s="80">
        <v>0</v>
      </c>
      <c r="AL172" s="80">
        <v>0</v>
      </c>
    </row>
    <row r="173" spans="1:38">
      <c r="A173" s="80" t="s">
        <v>117</v>
      </c>
      <c r="B173" s="80" t="s">
        <v>66</v>
      </c>
      <c r="C173" s="80">
        <v>0</v>
      </c>
      <c r="D173" s="80">
        <v>0</v>
      </c>
      <c r="E173" s="80">
        <v>0</v>
      </c>
      <c r="F173" s="80">
        <v>0</v>
      </c>
      <c r="G173" s="80">
        <v>0</v>
      </c>
      <c r="H173" s="80">
        <v>0</v>
      </c>
      <c r="I173" s="80">
        <v>0</v>
      </c>
      <c r="J173" s="80">
        <v>0</v>
      </c>
      <c r="K173" s="80">
        <v>0</v>
      </c>
      <c r="L173" s="80">
        <v>0</v>
      </c>
      <c r="M173" s="80">
        <v>0</v>
      </c>
      <c r="N173" s="80">
        <v>0</v>
      </c>
      <c r="O173" s="80">
        <v>0</v>
      </c>
      <c r="P173" s="80">
        <v>0</v>
      </c>
      <c r="Q173" s="80">
        <v>0</v>
      </c>
      <c r="R173" s="80">
        <v>0</v>
      </c>
      <c r="S173" s="80">
        <v>0</v>
      </c>
      <c r="T173" s="80">
        <v>0</v>
      </c>
      <c r="U173" s="80">
        <v>0</v>
      </c>
      <c r="V173" s="80">
        <v>0</v>
      </c>
      <c r="W173" s="80">
        <v>0</v>
      </c>
      <c r="X173" s="80">
        <v>0</v>
      </c>
      <c r="Y173" s="80">
        <v>0</v>
      </c>
      <c r="Z173" s="80">
        <v>0</v>
      </c>
      <c r="AA173" s="80">
        <v>0</v>
      </c>
      <c r="AB173" s="80">
        <v>0</v>
      </c>
      <c r="AC173" s="80">
        <v>0</v>
      </c>
      <c r="AD173" s="80">
        <v>0</v>
      </c>
      <c r="AE173" s="80">
        <v>0</v>
      </c>
      <c r="AF173" s="80">
        <v>0</v>
      </c>
      <c r="AG173" s="80">
        <v>0</v>
      </c>
      <c r="AH173" s="80">
        <v>0</v>
      </c>
      <c r="AI173" s="80">
        <v>0</v>
      </c>
      <c r="AJ173" s="80">
        <v>0</v>
      </c>
      <c r="AK173" s="80">
        <v>0</v>
      </c>
      <c r="AL173" s="80">
        <v>0</v>
      </c>
    </row>
    <row r="174" spans="1:38">
      <c r="A174" s="80" t="s">
        <v>118</v>
      </c>
      <c r="B174" s="80" t="s">
        <v>66</v>
      </c>
      <c r="C174" s="80">
        <v>0</v>
      </c>
      <c r="D174" s="80">
        <v>0</v>
      </c>
      <c r="E174" s="80">
        <v>0</v>
      </c>
      <c r="F174" s="80">
        <v>0</v>
      </c>
      <c r="G174" s="80">
        <v>0</v>
      </c>
      <c r="H174" s="80">
        <v>0</v>
      </c>
      <c r="I174" s="80">
        <v>0</v>
      </c>
      <c r="J174" s="80">
        <v>0</v>
      </c>
      <c r="K174" s="80">
        <v>0</v>
      </c>
      <c r="L174" s="80">
        <v>0</v>
      </c>
      <c r="M174" s="80">
        <v>0</v>
      </c>
      <c r="N174" s="80">
        <v>0</v>
      </c>
      <c r="O174" s="80">
        <v>0</v>
      </c>
      <c r="P174" s="80">
        <v>0</v>
      </c>
      <c r="Q174" s="80">
        <v>0</v>
      </c>
      <c r="R174" s="80">
        <v>0</v>
      </c>
      <c r="S174" s="80">
        <v>0</v>
      </c>
      <c r="T174" s="80">
        <v>0</v>
      </c>
      <c r="U174" s="80">
        <v>0</v>
      </c>
      <c r="V174" s="80">
        <v>0</v>
      </c>
      <c r="W174" s="80">
        <v>0</v>
      </c>
      <c r="X174" s="80">
        <v>0</v>
      </c>
      <c r="Y174" s="80">
        <v>0</v>
      </c>
      <c r="Z174" s="80">
        <v>0</v>
      </c>
      <c r="AA174" s="80">
        <v>0</v>
      </c>
      <c r="AB174" s="80">
        <v>0</v>
      </c>
      <c r="AC174" s="80">
        <v>0</v>
      </c>
      <c r="AD174" s="80">
        <v>0</v>
      </c>
      <c r="AE174" s="80">
        <v>0</v>
      </c>
      <c r="AF174" s="80">
        <v>0</v>
      </c>
      <c r="AG174" s="80">
        <v>0</v>
      </c>
      <c r="AH174" s="80">
        <v>0</v>
      </c>
      <c r="AI174" s="80">
        <v>0</v>
      </c>
      <c r="AJ174" s="80">
        <v>0</v>
      </c>
      <c r="AK174" s="80">
        <v>0</v>
      </c>
      <c r="AL174" s="80">
        <v>0</v>
      </c>
    </row>
    <row r="175" spans="1:38">
      <c r="A175" s="80" t="s">
        <v>13</v>
      </c>
      <c r="B175" s="80" t="s">
        <v>66</v>
      </c>
      <c r="C175" s="82">
        <v>6.0307935000000002E-8</v>
      </c>
      <c r="D175" s="82">
        <v>1.5547731000000002E-8</v>
      </c>
      <c r="E175" s="82">
        <v>4.2055423000000003E-9</v>
      </c>
      <c r="F175" s="82">
        <v>2.4174786000000002E-7</v>
      </c>
      <c r="G175" s="82">
        <v>1.0137274E-10</v>
      </c>
      <c r="H175" s="82">
        <v>2.6977373999999998E-9</v>
      </c>
      <c r="I175" s="82">
        <v>5.8770438999999996E-10</v>
      </c>
      <c r="J175" s="82">
        <v>1.5365557999999999E-7</v>
      </c>
      <c r="K175" s="82">
        <v>9.8455875999999997E-7</v>
      </c>
      <c r="L175" s="82">
        <v>4.8976805000000003E-8</v>
      </c>
      <c r="M175" s="82">
        <v>4.9303877999999997E-8</v>
      </c>
      <c r="N175" s="82">
        <v>2.0240851999999999E-6</v>
      </c>
      <c r="O175" s="82">
        <v>9.0733049000000004E-7</v>
      </c>
      <c r="P175" s="82">
        <v>3.3446413E-6</v>
      </c>
      <c r="Q175" s="82">
        <v>8.8889821999999997E-6</v>
      </c>
      <c r="R175" s="82">
        <v>4.7331895E-5</v>
      </c>
      <c r="S175" s="82">
        <v>4.5588011999999997E-5</v>
      </c>
      <c r="T175" s="82">
        <v>2.1995479E-6</v>
      </c>
      <c r="U175" s="82">
        <v>9.2337258000000006E-6</v>
      </c>
      <c r="V175" s="82">
        <v>1.0299145000000001E-5</v>
      </c>
      <c r="W175" s="82">
        <v>1.1267948000000001E-5</v>
      </c>
      <c r="X175" s="80">
        <v>1.3950614999999999E-3</v>
      </c>
      <c r="Y175" s="82">
        <v>4.4918759999999998E-5</v>
      </c>
      <c r="Z175" s="82">
        <v>9.8455875999999997E-7</v>
      </c>
      <c r="AA175" s="82">
        <v>1.9192275000000001E-5</v>
      </c>
      <c r="AB175" s="82">
        <v>1.6356180999999999E-8</v>
      </c>
      <c r="AC175" s="82">
        <v>6.1005699000000002E-5</v>
      </c>
      <c r="AD175" s="82">
        <v>1.5161720000000001E-6</v>
      </c>
      <c r="AE175" s="82">
        <v>7.1923532999999994E-5</v>
      </c>
      <c r="AF175" s="82">
        <v>1.7406039E-9</v>
      </c>
      <c r="AG175" s="82">
        <v>5.2403291000000004E-7</v>
      </c>
      <c r="AH175" s="82">
        <v>9.2521383999999994E-6</v>
      </c>
      <c r="AI175" s="82">
        <v>6.0307935000000002E-8</v>
      </c>
      <c r="AJ175" s="82">
        <v>1.5340188000000001E-8</v>
      </c>
      <c r="AK175" s="82">
        <v>4.6857725000000001E-7</v>
      </c>
      <c r="AL175" s="82">
        <v>8.5702374000000007E-6</v>
      </c>
    </row>
    <row r="176" spans="1:38">
      <c r="A176" s="80" t="s">
        <v>119</v>
      </c>
      <c r="B176" s="80" t="s">
        <v>66</v>
      </c>
      <c r="C176" s="80">
        <v>0</v>
      </c>
      <c r="D176" s="80">
        <v>0</v>
      </c>
      <c r="E176" s="80">
        <v>0</v>
      </c>
      <c r="F176" s="80">
        <v>0</v>
      </c>
      <c r="G176" s="80">
        <v>0</v>
      </c>
      <c r="H176" s="80">
        <v>0</v>
      </c>
      <c r="I176" s="80">
        <v>0</v>
      </c>
      <c r="J176" s="80">
        <v>0</v>
      </c>
      <c r="K176" s="80">
        <v>0</v>
      </c>
      <c r="L176" s="80">
        <v>0</v>
      </c>
      <c r="M176" s="80">
        <v>0</v>
      </c>
      <c r="N176" s="80">
        <v>0</v>
      </c>
      <c r="O176" s="80">
        <v>0</v>
      </c>
      <c r="P176" s="80">
        <v>0</v>
      </c>
      <c r="Q176" s="80">
        <v>0</v>
      </c>
      <c r="R176" s="80">
        <v>0</v>
      </c>
      <c r="S176" s="80">
        <v>0</v>
      </c>
      <c r="T176" s="80">
        <v>0</v>
      </c>
      <c r="U176" s="80">
        <v>0</v>
      </c>
      <c r="V176" s="80">
        <v>0</v>
      </c>
      <c r="W176" s="80">
        <v>0</v>
      </c>
      <c r="X176" s="80">
        <v>0</v>
      </c>
      <c r="Y176" s="80">
        <v>0</v>
      </c>
      <c r="Z176" s="80">
        <v>0</v>
      </c>
      <c r="AA176" s="80">
        <v>0</v>
      </c>
      <c r="AB176" s="80">
        <v>0</v>
      </c>
      <c r="AC176" s="80">
        <v>0</v>
      </c>
      <c r="AD176" s="80">
        <v>0</v>
      </c>
      <c r="AE176" s="80">
        <v>0</v>
      </c>
      <c r="AF176" s="80">
        <v>0</v>
      </c>
      <c r="AG176" s="80">
        <v>0</v>
      </c>
      <c r="AH176" s="80">
        <v>0</v>
      </c>
      <c r="AI176" s="80">
        <v>0</v>
      </c>
      <c r="AJ176" s="80">
        <v>0</v>
      </c>
      <c r="AK176" s="80">
        <v>0</v>
      </c>
      <c r="AL176" s="80">
        <v>0</v>
      </c>
    </row>
    <row r="181" spans="1:2">
      <c r="A181" s="79"/>
    </row>
    <row r="182" spans="1:2" hidden="1" outlineLevel="1">
      <c r="A182" s="80" t="s">
        <v>28</v>
      </c>
      <c r="B182" s="80" t="s">
        <v>297</v>
      </c>
    </row>
    <row r="183" spans="1:2" hidden="1" outlineLevel="1">
      <c r="A183" s="80" t="s">
        <v>29</v>
      </c>
      <c r="B183" s="80" t="s">
        <v>298</v>
      </c>
    </row>
    <row r="184" spans="1:2" hidden="1" outlineLevel="1">
      <c r="A184" s="80" t="s">
        <v>30</v>
      </c>
      <c r="B184" s="80" t="s">
        <v>365</v>
      </c>
    </row>
    <row r="185" spans="1:2" hidden="1" outlineLevel="1">
      <c r="A185" s="80" t="s">
        <v>31</v>
      </c>
      <c r="B185" s="80" t="s">
        <v>366</v>
      </c>
    </row>
    <row r="186" spans="1:2" hidden="1" outlineLevel="1">
      <c r="A186" s="80" t="s">
        <v>32</v>
      </c>
      <c r="B186" s="80" t="s">
        <v>367</v>
      </c>
    </row>
    <row r="187" spans="1:2" hidden="1" outlineLevel="1">
      <c r="A187" s="80" t="s">
        <v>33</v>
      </c>
      <c r="B187" s="80" t="s">
        <v>368</v>
      </c>
    </row>
    <row r="188" spans="1:2" hidden="1" outlineLevel="1">
      <c r="A188" s="80" t="s">
        <v>34</v>
      </c>
      <c r="B188" s="80" t="s">
        <v>369</v>
      </c>
    </row>
    <row r="189" spans="1:2" hidden="1" outlineLevel="1">
      <c r="A189" s="80" t="s">
        <v>35</v>
      </c>
      <c r="B189" s="80" t="s">
        <v>370</v>
      </c>
    </row>
    <row r="190" spans="1:2" hidden="1" outlineLevel="1">
      <c r="A190" s="80" t="s">
        <v>36</v>
      </c>
      <c r="B190" s="80" t="s">
        <v>371</v>
      </c>
    </row>
    <row r="191" spans="1:2" hidden="1" outlineLevel="1">
      <c r="A191" s="80" t="s">
        <v>37</v>
      </c>
      <c r="B191" s="80" t="s">
        <v>372</v>
      </c>
    </row>
    <row r="192" spans="1:2" hidden="1" outlineLevel="1">
      <c r="A192" s="80" t="s">
        <v>38</v>
      </c>
      <c r="B192" s="80" t="s">
        <v>76</v>
      </c>
    </row>
    <row r="193" spans="1:2" hidden="1" outlineLevel="1">
      <c r="A193" s="80" t="s">
        <v>39</v>
      </c>
      <c r="B193" s="80" t="s">
        <v>373</v>
      </c>
    </row>
    <row r="194" spans="1:2" hidden="1" outlineLevel="1">
      <c r="A194" s="80" t="s">
        <v>45</v>
      </c>
      <c r="B194" s="80" t="s">
        <v>374</v>
      </c>
    </row>
    <row r="195" spans="1:2" hidden="1" outlineLevel="1">
      <c r="A195" s="80" t="s">
        <v>47</v>
      </c>
      <c r="B195" s="80" t="s">
        <v>375</v>
      </c>
    </row>
    <row r="196" spans="1:2" hidden="1" outlineLevel="1">
      <c r="A196" s="80" t="s">
        <v>49</v>
      </c>
      <c r="B196" s="80" t="s">
        <v>376</v>
      </c>
    </row>
    <row r="197" spans="1:2" hidden="1" outlineLevel="1">
      <c r="A197" s="80" t="s">
        <v>50</v>
      </c>
      <c r="B197" s="80" t="s">
        <v>377</v>
      </c>
    </row>
    <row r="198" spans="1:2" hidden="1" outlineLevel="1">
      <c r="A198" s="80" t="s">
        <v>51</v>
      </c>
      <c r="B198" s="80" t="s">
        <v>69</v>
      </c>
    </row>
    <row r="199" spans="1:2" hidden="1" outlineLevel="1">
      <c r="A199" s="80" t="s">
        <v>52</v>
      </c>
      <c r="B199" s="80" t="s">
        <v>70</v>
      </c>
    </row>
    <row r="200" spans="1:2" hidden="1" outlineLevel="1">
      <c r="A200" s="80" t="s">
        <v>53</v>
      </c>
      <c r="B200" s="80" t="s">
        <v>299</v>
      </c>
    </row>
    <row r="201" spans="1:2" hidden="1" outlineLevel="1">
      <c r="A201" s="80" t="s">
        <v>54</v>
      </c>
      <c r="B201" s="80" t="s">
        <v>300</v>
      </c>
    </row>
    <row r="202" spans="1:2" hidden="1" outlineLevel="1">
      <c r="A202" s="80" t="s">
        <v>55</v>
      </c>
      <c r="B202" s="80" t="s">
        <v>71</v>
      </c>
    </row>
    <row r="203" spans="1:2" hidden="1" outlineLevel="1">
      <c r="A203" s="80" t="s">
        <v>56</v>
      </c>
      <c r="B203" s="80" t="s">
        <v>72</v>
      </c>
    </row>
    <row r="204" spans="1:2" hidden="1" outlineLevel="1">
      <c r="A204" s="80" t="s">
        <v>57</v>
      </c>
      <c r="B204" s="80" t="s">
        <v>73</v>
      </c>
    </row>
    <row r="205" spans="1:2" hidden="1" outlineLevel="1">
      <c r="A205" s="80" t="s">
        <v>58</v>
      </c>
      <c r="B205" s="80" t="s">
        <v>74</v>
      </c>
    </row>
    <row r="206" spans="1:2" hidden="1" outlineLevel="1">
      <c r="A206" s="80" t="s">
        <v>59</v>
      </c>
      <c r="B206" s="80" t="s">
        <v>75</v>
      </c>
    </row>
    <row r="207" spans="1:2" hidden="1" outlineLevel="1">
      <c r="A207" s="80" t="s">
        <v>60</v>
      </c>
      <c r="B207" s="80" t="s">
        <v>76</v>
      </c>
    </row>
    <row r="208" spans="1:2" hidden="1" outlineLevel="1">
      <c r="A208" s="80" t="s">
        <v>61</v>
      </c>
      <c r="B208" s="80" t="s">
        <v>77</v>
      </c>
    </row>
    <row r="209" spans="1:2" hidden="1" outlineLevel="1">
      <c r="A209" s="80" t="s">
        <v>62</v>
      </c>
      <c r="B209" s="80" t="s">
        <v>78</v>
      </c>
    </row>
    <row r="210" spans="1:2" hidden="1" outlineLevel="1">
      <c r="A210" s="80" t="s">
        <v>63</v>
      </c>
      <c r="B210" s="80" t="s">
        <v>378</v>
      </c>
    </row>
    <row r="211" spans="1:2" hidden="1" outlineLevel="1">
      <c r="A211" s="80" t="s">
        <v>285</v>
      </c>
      <c r="B211" s="80" t="s">
        <v>284</v>
      </c>
    </row>
    <row r="212" spans="1:2" hidden="1" outlineLevel="1">
      <c r="A212" s="80" t="s">
        <v>286</v>
      </c>
      <c r="B212" s="80" t="s">
        <v>379</v>
      </c>
    </row>
    <row r="213" spans="1:2" hidden="1" outlineLevel="1">
      <c r="A213" s="80" t="s">
        <v>289</v>
      </c>
      <c r="B213" s="80" t="s">
        <v>79</v>
      </c>
    </row>
    <row r="214" spans="1:2" hidden="1" outlineLevel="1">
      <c r="A214" s="80" t="s">
        <v>301</v>
      </c>
      <c r="B214" s="80" t="s">
        <v>48</v>
      </c>
    </row>
    <row r="215" spans="1:2" hidden="1" outlineLevel="1">
      <c r="A215" s="80" t="s">
        <v>302</v>
      </c>
      <c r="B215" s="80" t="s">
        <v>46</v>
      </c>
    </row>
    <row r="216" spans="1:2" hidden="1" outlineLevel="1">
      <c r="A216" s="80" t="s">
        <v>303</v>
      </c>
      <c r="B216" s="80" t="s">
        <v>380</v>
      </c>
    </row>
    <row r="217" spans="1:2" hidden="1" outlineLevel="1">
      <c r="A217" s="80" t="s">
        <v>340</v>
      </c>
      <c r="B217" s="80" t="s">
        <v>381</v>
      </c>
    </row>
    <row r="218" spans="1:2" hidden="1" outlineLevel="1">
      <c r="A218" s="80" t="s">
        <v>304</v>
      </c>
      <c r="B218" s="80" t="s">
        <v>388</v>
      </c>
    </row>
    <row r="219" spans="1:2" hidden="1" outlineLevel="1">
      <c r="A219" s="80" t="s">
        <v>305</v>
      </c>
      <c r="B219" s="80" t="s">
        <v>306</v>
      </c>
    </row>
    <row r="220" spans="1:2" hidden="1" outlineLevel="1">
      <c r="A220" s="80" t="s">
        <v>41</v>
      </c>
      <c r="B220" s="80" t="s">
        <v>307</v>
      </c>
    </row>
    <row r="221" spans="1:2" hidden="1" outlineLevel="1">
      <c r="A221" s="80" t="s">
        <v>84</v>
      </c>
      <c r="B221" s="80" t="s">
        <v>308</v>
      </c>
    </row>
    <row r="222" spans="1:2" hidden="1" outlineLevel="1">
      <c r="A222" s="80" t="s">
        <v>309</v>
      </c>
      <c r="B222" s="80" t="s">
        <v>310</v>
      </c>
    </row>
    <row r="223" spans="1:2" hidden="1" outlineLevel="1">
      <c r="A223" s="80" t="s">
        <v>311</v>
      </c>
      <c r="B223" s="80" t="s">
        <v>310</v>
      </c>
    </row>
    <row r="224" spans="1:2" hidden="1" outlineLevel="1">
      <c r="A224" s="80" t="s">
        <v>43</v>
      </c>
      <c r="B224" s="80" t="s">
        <v>319</v>
      </c>
    </row>
    <row r="225" spans="1:38" hidden="1" outlineLevel="1">
      <c r="A225" s="80" t="s">
        <v>44</v>
      </c>
      <c r="B225" s="80" t="s">
        <v>313</v>
      </c>
    </row>
    <row r="226" spans="1:38" collapsed="1"/>
    <row r="227" spans="1:38">
      <c r="A227" s="80" t="s">
        <v>319</v>
      </c>
      <c r="B227" s="80" t="s">
        <v>314</v>
      </c>
      <c r="C227" s="80" t="s">
        <v>235</v>
      </c>
      <c r="D227" s="80" t="s">
        <v>236</v>
      </c>
      <c r="E227" s="80" t="s">
        <v>237</v>
      </c>
      <c r="F227" s="80" t="s">
        <v>238</v>
      </c>
      <c r="G227" s="80" t="s">
        <v>383</v>
      </c>
      <c r="H227" s="80" t="s">
        <v>239</v>
      </c>
      <c r="I227" s="80" t="s">
        <v>240</v>
      </c>
      <c r="J227" s="80" t="s">
        <v>241</v>
      </c>
      <c r="K227" s="80" t="s">
        <v>110</v>
      </c>
      <c r="L227" s="80" t="s">
        <v>242</v>
      </c>
      <c r="M227" s="80" t="s">
        <v>243</v>
      </c>
      <c r="N227" s="80" t="s">
        <v>266</v>
      </c>
      <c r="O227" s="80" t="s">
        <v>267</v>
      </c>
      <c r="P227" s="80" t="s">
        <v>268</v>
      </c>
      <c r="Q227" s="80" t="s">
        <v>103</v>
      </c>
      <c r="R227" s="80" t="s">
        <v>104</v>
      </c>
      <c r="S227" s="80" t="s">
        <v>316</v>
      </c>
      <c r="T227" s="80" t="s">
        <v>317</v>
      </c>
      <c r="U227" s="80" t="s">
        <v>105</v>
      </c>
      <c r="V227" s="80" t="s">
        <v>106</v>
      </c>
      <c r="W227" s="80" t="s">
        <v>107</v>
      </c>
      <c r="X227" s="80" t="s">
        <v>108</v>
      </c>
      <c r="Y227" s="80" t="s">
        <v>109</v>
      </c>
      <c r="Z227" s="80" t="s">
        <v>110</v>
      </c>
      <c r="AA227" s="80" t="s">
        <v>111</v>
      </c>
      <c r="AB227" s="80" t="s">
        <v>112</v>
      </c>
      <c r="AC227" s="80" t="s">
        <v>384</v>
      </c>
      <c r="AD227" s="80" t="s">
        <v>287</v>
      </c>
      <c r="AE227" s="80" t="s">
        <v>385</v>
      </c>
      <c r="AF227" s="80" t="s">
        <v>114</v>
      </c>
      <c r="AG227" s="80" t="s">
        <v>64</v>
      </c>
      <c r="AH227" s="80" t="s">
        <v>2</v>
      </c>
      <c r="AI227" s="80" t="s">
        <v>346</v>
      </c>
      <c r="AJ227" s="80" t="s">
        <v>354</v>
      </c>
      <c r="AK227" s="80" t="s">
        <v>64</v>
      </c>
      <c r="AL227" s="80" t="s">
        <v>2</v>
      </c>
    </row>
    <row r="228" spans="1:38">
      <c r="A228" s="80" t="s">
        <v>7</v>
      </c>
      <c r="B228" s="80" t="s">
        <v>1</v>
      </c>
      <c r="C228" s="80">
        <v>23.663157000000002</v>
      </c>
      <c r="D228" s="80">
        <v>9.6193732999999995</v>
      </c>
      <c r="E228" s="80">
        <v>239.58794</v>
      </c>
      <c r="F228" s="80">
        <v>250.98740000000001</v>
      </c>
      <c r="G228" s="80">
        <v>240.50259</v>
      </c>
      <c r="H228" s="80">
        <v>1.2041263</v>
      </c>
      <c r="I228" s="80">
        <v>9.6799116000000005</v>
      </c>
      <c r="J228" s="80">
        <v>17.848849999999999</v>
      </c>
      <c r="K228" s="80">
        <v>347.01094999999998</v>
      </c>
      <c r="L228" s="80">
        <v>11.448225000000001</v>
      </c>
      <c r="M228" s="80">
        <v>15.901363999999999</v>
      </c>
      <c r="N228" s="80">
        <v>316.86639000000002</v>
      </c>
      <c r="O228" s="80">
        <v>315.07816000000003</v>
      </c>
      <c r="P228" s="80">
        <v>687.87487999999996</v>
      </c>
      <c r="Q228" s="80">
        <v>1351.6804999999999</v>
      </c>
      <c r="R228" s="80">
        <v>603.85383999999999</v>
      </c>
      <c r="S228" s="80">
        <v>465.80642</v>
      </c>
      <c r="T228" s="80">
        <v>168.86402000000001</v>
      </c>
      <c r="U228" s="80">
        <v>1065.5198</v>
      </c>
      <c r="V228" s="80">
        <v>1418.9268</v>
      </c>
      <c r="W228" s="80">
        <v>1855.3463999999999</v>
      </c>
      <c r="X228" s="80">
        <v>2374.0572000000002</v>
      </c>
      <c r="Y228" s="80">
        <v>2014.547</v>
      </c>
      <c r="Z228" s="80">
        <v>347.01094999999998</v>
      </c>
      <c r="AA228" s="80">
        <v>566.05816000000004</v>
      </c>
      <c r="AB228" s="80">
        <v>24.275732999999999</v>
      </c>
      <c r="AC228" s="80">
        <v>1165.1192000000001</v>
      </c>
      <c r="AD228" s="80">
        <v>14.005338</v>
      </c>
      <c r="AE228" s="80">
        <v>1360.0283999999999</v>
      </c>
      <c r="AF228" s="80">
        <v>0.35357029000000001</v>
      </c>
      <c r="AG228" s="80">
        <v>65.497545000000002</v>
      </c>
      <c r="AH228" s="80">
        <v>289.41037999999998</v>
      </c>
      <c r="AI228" s="80">
        <v>23.663157000000002</v>
      </c>
      <c r="AJ228" s="80">
        <v>3.4813831999999998</v>
      </c>
      <c r="AK228" s="80">
        <v>64.992420999999993</v>
      </c>
      <c r="AL228" s="80">
        <v>283.19193000000001</v>
      </c>
    </row>
    <row r="229" spans="1:38">
      <c r="A229" s="80" t="s">
        <v>120</v>
      </c>
      <c r="B229" s="80" t="s">
        <v>1</v>
      </c>
      <c r="C229" s="80">
        <v>2.3829646000000002E-3</v>
      </c>
      <c r="D229" s="80">
        <v>3.4305916000000001E-4</v>
      </c>
      <c r="E229" s="80">
        <v>6.3174103999999995E-2</v>
      </c>
      <c r="F229" s="80">
        <v>6.4531910999999997E-2</v>
      </c>
      <c r="G229" s="80">
        <v>6.2842578999999996E-2</v>
      </c>
      <c r="H229" s="80">
        <v>1.0658759E-4</v>
      </c>
      <c r="I229" s="82">
        <v>1.295659E-5</v>
      </c>
      <c r="J229" s="80">
        <v>3.3913596999999998E-3</v>
      </c>
      <c r="K229" s="80">
        <v>0.57969314999999999</v>
      </c>
      <c r="L229" s="80">
        <v>2.9660899000000002E-3</v>
      </c>
      <c r="M229" s="80">
        <v>3.0175638999999999E-3</v>
      </c>
      <c r="N229" s="80">
        <v>0.84422759000000003</v>
      </c>
      <c r="O229" s="80">
        <v>0.13790247999999999</v>
      </c>
      <c r="P229" s="80">
        <v>1.4794164999999999</v>
      </c>
      <c r="Q229" s="80">
        <v>4.0766553999999999</v>
      </c>
      <c r="R229" s="80">
        <v>0.10451433</v>
      </c>
      <c r="S229" s="80">
        <v>0.12106264</v>
      </c>
      <c r="T229" s="80">
        <v>0.36855145</v>
      </c>
      <c r="U229" s="80">
        <v>2.7780653000000002</v>
      </c>
      <c r="V229" s="80">
        <v>2.5826026</v>
      </c>
      <c r="W229" s="80">
        <v>2.9948275999999998</v>
      </c>
      <c r="X229" s="80">
        <v>3.9606321000000002</v>
      </c>
      <c r="Y229" s="80">
        <v>0.43351868999999998</v>
      </c>
      <c r="Z229" s="80">
        <v>0.57969314999999999</v>
      </c>
      <c r="AA229" s="80">
        <v>1.9807737999999999</v>
      </c>
      <c r="AB229" s="80">
        <v>6.5288880999999993E-2</v>
      </c>
      <c r="AC229" s="80">
        <v>0.44499661000000001</v>
      </c>
      <c r="AD229" s="80">
        <v>1.4829089999999999E-3</v>
      </c>
      <c r="AE229" s="80">
        <v>0.44721794999999998</v>
      </c>
      <c r="AF229" s="80">
        <v>6.9221152999999994E-2</v>
      </c>
      <c r="AG229" s="80">
        <v>4.6762063999999999E-2</v>
      </c>
      <c r="AH229" s="80">
        <v>6.7206029E-2</v>
      </c>
      <c r="AI229" s="80">
        <v>2.3829646000000002E-3</v>
      </c>
      <c r="AJ229" s="80">
        <v>6.0598610000000002E-4</v>
      </c>
      <c r="AK229" s="80">
        <v>3.9677723999999998E-2</v>
      </c>
      <c r="AL229" s="80">
        <v>6.2864059999999999E-2</v>
      </c>
    </row>
    <row r="230" spans="1:38">
      <c r="A230" s="80" t="s">
        <v>17</v>
      </c>
      <c r="B230" s="80" t="s">
        <v>1</v>
      </c>
      <c r="C230" s="80">
        <v>0.15392587999999999</v>
      </c>
      <c r="D230" s="80">
        <v>2.4549258000000001E-2</v>
      </c>
      <c r="E230" s="80">
        <v>1.4951864E-2</v>
      </c>
      <c r="F230" s="80">
        <v>1.0952662</v>
      </c>
      <c r="G230" s="80">
        <v>2.9492850999999999E-4</v>
      </c>
      <c r="H230" s="80">
        <v>6.8848874999999999E-3</v>
      </c>
      <c r="I230" s="80">
        <v>9.2787429999999997E-4</v>
      </c>
      <c r="J230" s="80">
        <v>0.24265247000000001</v>
      </c>
      <c r="K230" s="80">
        <v>32.511873999999999</v>
      </c>
      <c r="L230" s="80">
        <v>0.15555387000000001</v>
      </c>
      <c r="M230" s="80">
        <v>0.15700816000000001</v>
      </c>
      <c r="N230" s="80">
        <v>15.812347000000001</v>
      </c>
      <c r="O230" s="80">
        <v>5.6575325000000003</v>
      </c>
      <c r="P230" s="80">
        <v>30.179618000000001</v>
      </c>
      <c r="Q230" s="80">
        <v>68.458156000000002</v>
      </c>
      <c r="R230" s="80">
        <v>19.934186</v>
      </c>
      <c r="S230" s="80">
        <v>15.348174</v>
      </c>
      <c r="T230" s="80">
        <v>6.4529350000000001</v>
      </c>
      <c r="U230" s="80">
        <v>53.521808999999998</v>
      </c>
      <c r="V230" s="80">
        <v>48.967806000000003</v>
      </c>
      <c r="W230" s="80">
        <v>219.08707000000001</v>
      </c>
      <c r="X230" s="80">
        <v>86.299509999999998</v>
      </c>
      <c r="Y230" s="80">
        <v>141.16598999999999</v>
      </c>
      <c r="Z230" s="80">
        <v>32.511873999999999</v>
      </c>
      <c r="AA230" s="80">
        <v>18.043088999999998</v>
      </c>
      <c r="AB230" s="80">
        <v>4.9706503</v>
      </c>
      <c r="AC230" s="80">
        <v>189.13634999999999</v>
      </c>
      <c r="AD230" s="80">
        <v>3.9107859999999999</v>
      </c>
      <c r="AE230" s="80">
        <v>191.34309999999999</v>
      </c>
      <c r="AF230" s="80">
        <v>1.79845E-2</v>
      </c>
      <c r="AG230" s="80">
        <v>2.3531678</v>
      </c>
      <c r="AH230" s="80">
        <v>11.180685</v>
      </c>
      <c r="AI230" s="80">
        <v>0.15392587999999999</v>
      </c>
      <c r="AJ230" s="80">
        <v>3.9142024999999997E-2</v>
      </c>
      <c r="AK230" s="80">
        <v>2.3476542999999999</v>
      </c>
      <c r="AL230" s="80">
        <v>11.177818</v>
      </c>
    </row>
    <row r="231" spans="1:38">
      <c r="A231" s="80" t="s">
        <v>121</v>
      </c>
      <c r="B231" s="80" t="s">
        <v>1</v>
      </c>
      <c r="C231" s="80">
        <v>0.27911624000000002</v>
      </c>
      <c r="D231" s="80">
        <v>9.0386800000000003E-2</v>
      </c>
      <c r="E231" s="80">
        <v>2.8758287E-2</v>
      </c>
      <c r="F231" s="80">
        <v>4.5893613999999999E-2</v>
      </c>
      <c r="G231" s="80">
        <v>1.1131022E-3</v>
      </c>
      <c r="H231" s="80">
        <v>1.2488733E-2</v>
      </c>
      <c r="I231" s="80">
        <v>3.4128515999999999E-3</v>
      </c>
      <c r="J231" s="80">
        <v>0.89359242999999999</v>
      </c>
      <c r="K231" s="80">
        <v>3.0074573</v>
      </c>
      <c r="L231" s="80">
        <v>0.46395301999999999</v>
      </c>
      <c r="M231" s="80">
        <v>0.46762046000000002</v>
      </c>
      <c r="N231" s="80">
        <v>4.6982539000000001</v>
      </c>
      <c r="O231" s="80">
        <v>3.6813438000000001</v>
      </c>
      <c r="P231" s="80">
        <v>54.238996999999998</v>
      </c>
      <c r="Q231" s="80">
        <v>43.841053000000002</v>
      </c>
      <c r="R231" s="80">
        <v>1.5562395</v>
      </c>
      <c r="S231" s="80">
        <v>1.2451232000000001</v>
      </c>
      <c r="T231" s="80">
        <v>8.3088615000000008</v>
      </c>
      <c r="U231" s="80">
        <v>33.562395000000002</v>
      </c>
      <c r="V231" s="80">
        <v>54.564551999999999</v>
      </c>
      <c r="W231" s="80">
        <v>12.57699</v>
      </c>
      <c r="X231" s="80">
        <v>58.754344000000003</v>
      </c>
      <c r="Y231" s="80">
        <v>19.809985000000001</v>
      </c>
      <c r="Z231" s="80">
        <v>3.0074573</v>
      </c>
      <c r="AA231" s="80">
        <v>8.1779069</v>
      </c>
      <c r="AB231" s="80">
        <v>1.415772E-2</v>
      </c>
      <c r="AC231" s="80">
        <v>10.846503999999999</v>
      </c>
      <c r="AD231" s="80">
        <v>0.16493004</v>
      </c>
      <c r="AE231" s="80">
        <v>15.144318</v>
      </c>
      <c r="AF231" s="80">
        <v>1.2832758E-2</v>
      </c>
      <c r="AG231" s="80">
        <v>2.3771355000000001</v>
      </c>
      <c r="AH231" s="80">
        <v>8.2057407999999992</v>
      </c>
      <c r="AI231" s="80">
        <v>0.27911624000000002</v>
      </c>
      <c r="AJ231" s="80">
        <v>7.1053941999999995E-2</v>
      </c>
      <c r="AK231" s="80">
        <v>2.3607578999999999</v>
      </c>
      <c r="AL231" s="80">
        <v>8.0425234999999997</v>
      </c>
    </row>
    <row r="232" spans="1:38">
      <c r="A232" s="80" t="s">
        <v>122</v>
      </c>
      <c r="B232" s="80" t="s">
        <v>1</v>
      </c>
      <c r="C232" s="80">
        <v>6.8217455999999996E-2</v>
      </c>
      <c r="D232" s="80">
        <v>1.4992274999999999E-2</v>
      </c>
      <c r="E232" s="80">
        <v>4.4104134999999999E-4</v>
      </c>
      <c r="F232" s="80">
        <v>3.5519473999999999E-3</v>
      </c>
      <c r="G232" s="82">
        <v>5.1173006000000003E-5</v>
      </c>
      <c r="H232" s="80">
        <v>3.0522675000000002E-3</v>
      </c>
      <c r="I232" s="80">
        <v>5.6743020000000002E-4</v>
      </c>
      <c r="J232" s="80">
        <v>0.14831428999999999</v>
      </c>
      <c r="K232" s="80">
        <v>0.24060843000000001</v>
      </c>
      <c r="L232" s="80">
        <v>2.4268865000000001E-2</v>
      </c>
      <c r="M232" s="80">
        <v>2.4439269999999999E-2</v>
      </c>
      <c r="N232" s="80">
        <v>0.54957632000000001</v>
      </c>
      <c r="O232" s="80">
        <v>0.80096230000000002</v>
      </c>
      <c r="P232" s="80">
        <v>0.76135048999999999</v>
      </c>
      <c r="Q232" s="80">
        <v>2.5435582999999999</v>
      </c>
      <c r="R232" s="80">
        <v>1.8247549999999999</v>
      </c>
      <c r="S232" s="80">
        <v>1.7807928</v>
      </c>
      <c r="T232" s="80">
        <v>0.89771031000000001</v>
      </c>
      <c r="U232" s="80">
        <v>2.6630533000000001</v>
      </c>
      <c r="V232" s="80">
        <v>3.9909126000000001</v>
      </c>
      <c r="W232" s="80">
        <v>1.3959309</v>
      </c>
      <c r="X232" s="80">
        <v>8.5502736000000006</v>
      </c>
      <c r="Y232" s="80">
        <v>1.9939745</v>
      </c>
      <c r="Z232" s="80">
        <v>0.24060843000000001</v>
      </c>
      <c r="AA232" s="80">
        <v>2.2013638000000002</v>
      </c>
      <c r="AB232" s="80">
        <v>5.2654984000000002E-2</v>
      </c>
      <c r="AC232" s="80">
        <v>1.1097272</v>
      </c>
      <c r="AD232" s="80">
        <v>9.6639580999999999E-3</v>
      </c>
      <c r="AE232" s="80">
        <v>2.1007343999999999</v>
      </c>
      <c r="AF232" s="80">
        <v>4.9128599000000002E-3</v>
      </c>
      <c r="AG232" s="80">
        <v>0.31743468000000002</v>
      </c>
      <c r="AH232" s="80">
        <v>0.63171394999999997</v>
      </c>
      <c r="AI232" s="80">
        <v>6.8217455999999996E-2</v>
      </c>
      <c r="AJ232" s="80">
        <v>1.7365285000000001E-2</v>
      </c>
      <c r="AK232" s="80">
        <v>0.31502109</v>
      </c>
      <c r="AL232" s="80">
        <v>0.60742872000000003</v>
      </c>
    </row>
    <row r="233" spans="1:38">
      <c r="A233" s="80" t="s">
        <v>389</v>
      </c>
      <c r="B233" s="80" t="s">
        <v>1</v>
      </c>
      <c r="C233" s="80">
        <v>0</v>
      </c>
      <c r="D233" s="80">
        <v>0</v>
      </c>
      <c r="E233" s="80">
        <v>0</v>
      </c>
      <c r="F233" s="80">
        <v>0</v>
      </c>
      <c r="G233" s="80">
        <v>0</v>
      </c>
      <c r="H233" s="80">
        <v>0</v>
      </c>
      <c r="I233" s="80">
        <v>0</v>
      </c>
      <c r="J233" s="80">
        <v>0</v>
      </c>
      <c r="K233" s="80">
        <v>0</v>
      </c>
      <c r="L233" s="80">
        <v>0</v>
      </c>
      <c r="M233" s="80">
        <v>0</v>
      </c>
      <c r="N233" s="80">
        <v>0</v>
      </c>
      <c r="O233" s="80">
        <v>0</v>
      </c>
      <c r="P233" s="80">
        <v>0</v>
      </c>
      <c r="Q233" s="80">
        <v>0</v>
      </c>
      <c r="R233" s="80">
        <v>0</v>
      </c>
      <c r="S233" s="80">
        <v>0</v>
      </c>
      <c r="T233" s="80">
        <v>0</v>
      </c>
      <c r="U233" s="80">
        <v>0</v>
      </c>
      <c r="V233" s="80">
        <v>0</v>
      </c>
      <c r="W233" s="80">
        <v>0</v>
      </c>
      <c r="X233" s="80">
        <v>0</v>
      </c>
      <c r="Y233" s="80">
        <v>0</v>
      </c>
      <c r="Z233" s="80">
        <v>0</v>
      </c>
      <c r="AA233" s="80">
        <v>0</v>
      </c>
      <c r="AB233" s="80">
        <v>0</v>
      </c>
      <c r="AC233" s="80">
        <v>0</v>
      </c>
      <c r="AD233" s="80">
        <v>0</v>
      </c>
      <c r="AE233" s="80">
        <v>0</v>
      </c>
      <c r="AF233" s="80">
        <v>0</v>
      </c>
      <c r="AG233" s="80">
        <v>0</v>
      </c>
      <c r="AH233" s="80">
        <v>0</v>
      </c>
      <c r="AI233" s="80">
        <v>0</v>
      </c>
      <c r="AJ233" s="80">
        <v>0</v>
      </c>
      <c r="AK233" s="80">
        <v>17.349277000000001</v>
      </c>
      <c r="AL233" s="80">
        <v>89.170011000000002</v>
      </c>
    </row>
    <row r="234" spans="1:38">
      <c r="A234" s="80" t="s">
        <v>123</v>
      </c>
      <c r="B234" s="80" t="s">
        <v>1</v>
      </c>
      <c r="C234" s="80">
        <v>3.0842928000000001</v>
      </c>
      <c r="D234" s="80">
        <v>0.14214959999999999</v>
      </c>
      <c r="E234" s="80">
        <v>1.9456199000000001</v>
      </c>
      <c r="F234" s="80">
        <v>10.512638000000001</v>
      </c>
      <c r="G234" s="82">
        <v>3.0220817000000002</v>
      </c>
      <c r="H234" s="82">
        <v>0.13793253999999999</v>
      </c>
      <c r="I234" s="82">
        <v>5.3754854999999999E-3</v>
      </c>
      <c r="J234" s="80">
        <v>1.4049305999999999</v>
      </c>
      <c r="K234" s="80">
        <v>46.424238000000003</v>
      </c>
      <c r="L234" s="80">
        <v>1.5684742</v>
      </c>
      <c r="M234" s="80">
        <v>1.5824039999999999</v>
      </c>
      <c r="N234" s="80">
        <v>125.25824</v>
      </c>
      <c r="O234" s="80">
        <v>176.14897999999999</v>
      </c>
      <c r="P234" s="80">
        <v>144.09956</v>
      </c>
      <c r="Q234" s="80">
        <v>466.98257999999998</v>
      </c>
      <c r="R234" s="80">
        <v>451.22496999999998</v>
      </c>
      <c r="S234" s="80">
        <v>347.43714999999997</v>
      </c>
      <c r="T234" s="80">
        <v>49.317712999999998</v>
      </c>
      <c r="U234" s="80">
        <v>367.09442000000001</v>
      </c>
      <c r="V234" s="80">
        <v>341.57342</v>
      </c>
      <c r="W234" s="80">
        <v>873.79286999999999</v>
      </c>
      <c r="X234" s="80">
        <v>840.78590999999994</v>
      </c>
      <c r="Y234" s="80">
        <v>974.72853999999995</v>
      </c>
      <c r="Z234" s="80">
        <v>46.424238000000003</v>
      </c>
      <c r="AA234" s="80">
        <v>199.94636</v>
      </c>
      <c r="AB234" s="80">
        <v>15.108796</v>
      </c>
      <c r="AC234" s="80">
        <v>274.69418000000002</v>
      </c>
      <c r="AD234" s="80">
        <v>5.4171772999999996</v>
      </c>
      <c r="AE234" s="80">
        <v>285.46562999999998</v>
      </c>
      <c r="AF234" s="80">
        <v>6.8249200999999995E-2</v>
      </c>
      <c r="AG234" s="80">
        <v>17.392151999999999</v>
      </c>
      <c r="AH234" s="80">
        <v>88.968673999999993</v>
      </c>
      <c r="AI234" s="80">
        <v>3.0842928000000001</v>
      </c>
      <c r="AJ234" s="80">
        <v>0.78388758000000003</v>
      </c>
      <c r="AK234" s="80">
        <v>8.9008539000000001E-3</v>
      </c>
      <c r="AL234" s="80">
        <v>5.8930559E-2</v>
      </c>
    </row>
    <row r="235" spans="1:38">
      <c r="A235" s="80" t="s">
        <v>390</v>
      </c>
      <c r="B235" s="80" t="s">
        <v>1</v>
      </c>
      <c r="C235" s="80">
        <v>0</v>
      </c>
      <c r="D235" s="80">
        <v>0</v>
      </c>
      <c r="E235" s="80">
        <v>0</v>
      </c>
      <c r="F235" s="80">
        <v>0</v>
      </c>
      <c r="G235" s="80">
        <v>0</v>
      </c>
      <c r="H235" s="80">
        <v>0</v>
      </c>
      <c r="I235" s="80">
        <v>0</v>
      </c>
      <c r="J235" s="80">
        <v>0</v>
      </c>
      <c r="K235" s="80">
        <v>0</v>
      </c>
      <c r="L235" s="80">
        <v>0</v>
      </c>
      <c r="M235" s="80">
        <v>0</v>
      </c>
      <c r="N235" s="80">
        <v>0</v>
      </c>
      <c r="O235" s="80">
        <v>0</v>
      </c>
      <c r="P235" s="80">
        <v>0</v>
      </c>
      <c r="Q235" s="80">
        <v>0</v>
      </c>
      <c r="R235" s="80">
        <v>0</v>
      </c>
      <c r="S235" s="80">
        <v>0</v>
      </c>
      <c r="T235" s="80">
        <v>0</v>
      </c>
      <c r="U235" s="80">
        <v>0</v>
      </c>
      <c r="V235" s="80">
        <v>0</v>
      </c>
      <c r="W235" s="80">
        <v>0</v>
      </c>
      <c r="X235" s="80">
        <v>0</v>
      </c>
      <c r="Y235" s="80">
        <v>0</v>
      </c>
      <c r="Z235" s="80">
        <v>0</v>
      </c>
      <c r="AA235" s="80">
        <v>0</v>
      </c>
      <c r="AB235" s="80">
        <v>0</v>
      </c>
      <c r="AC235" s="80">
        <v>0</v>
      </c>
      <c r="AD235" s="80">
        <v>0</v>
      </c>
      <c r="AE235" s="80">
        <v>0</v>
      </c>
      <c r="AF235" s="80">
        <v>0</v>
      </c>
      <c r="AG235" s="80">
        <v>0</v>
      </c>
      <c r="AH235" s="80">
        <v>0</v>
      </c>
      <c r="AI235" s="80">
        <v>0</v>
      </c>
      <c r="AJ235" s="80">
        <v>0</v>
      </c>
      <c r="AK235" s="80">
        <v>12.949282999999999</v>
      </c>
      <c r="AL235" s="80">
        <v>85.660822999999993</v>
      </c>
    </row>
    <row r="236" spans="1:38">
      <c r="A236" s="80" t="s">
        <v>124</v>
      </c>
      <c r="B236" s="80" t="s">
        <v>1</v>
      </c>
      <c r="C236" s="80">
        <v>8.6245022000000005E-4</v>
      </c>
      <c r="D236" s="80">
        <v>1.2835928999999999E-4</v>
      </c>
      <c r="E236" s="80">
        <v>2.7748569000000001E-4</v>
      </c>
      <c r="F236" s="80">
        <v>1.0998921E-2</v>
      </c>
      <c r="G236" s="80">
        <v>4.3478971000000004E-6</v>
      </c>
      <c r="H236" s="80">
        <v>3.8576204000000003E-5</v>
      </c>
      <c r="I236" s="80">
        <v>4.8514984000000002E-6</v>
      </c>
      <c r="J236" s="80">
        <v>1.2686902999999999E-3</v>
      </c>
      <c r="K236" s="80">
        <v>0.37476998</v>
      </c>
      <c r="L236" s="80">
        <v>7.1396834999999995E-4</v>
      </c>
      <c r="M236" s="80">
        <v>7.4032391000000003E-4</v>
      </c>
      <c r="N236" s="80">
        <v>0.51080935999999999</v>
      </c>
      <c r="O236" s="80">
        <v>2.8162631E-2</v>
      </c>
      <c r="P236" s="80">
        <v>0.86965970000000004</v>
      </c>
      <c r="Q236" s="80">
        <v>0.40950910000000001</v>
      </c>
      <c r="R236" s="80">
        <v>0.13153988999999999</v>
      </c>
      <c r="S236" s="80">
        <v>0.10023281000000001</v>
      </c>
      <c r="T236" s="80">
        <v>3.9678707000000001E-2</v>
      </c>
      <c r="U236" s="80">
        <v>10.604989</v>
      </c>
      <c r="V236" s="80">
        <v>13.184193</v>
      </c>
      <c r="W236" s="80">
        <v>1.1444681999999999</v>
      </c>
      <c r="X236" s="80">
        <v>2.3177843</v>
      </c>
      <c r="Y236" s="80">
        <v>1.0926971000000001</v>
      </c>
      <c r="Z236" s="80">
        <v>0.37476998</v>
      </c>
      <c r="AA236" s="80">
        <v>4.5381037999999999E-2</v>
      </c>
      <c r="AB236" s="80">
        <v>5.5510456999999995E-4</v>
      </c>
      <c r="AC236" s="80">
        <v>1.1938454000000001</v>
      </c>
      <c r="AD236" s="80">
        <v>4.7372127E-2</v>
      </c>
      <c r="AE236" s="80">
        <v>0.97769720000000004</v>
      </c>
      <c r="AF236" s="80">
        <v>1.7689913E-4</v>
      </c>
      <c r="AG236" s="80">
        <v>1.0648898E-2</v>
      </c>
      <c r="AH236" s="80">
        <v>6.2629972000000006E-2</v>
      </c>
      <c r="AI236" s="80">
        <v>8.6245022000000005E-4</v>
      </c>
      <c r="AJ236" s="80">
        <v>2.1931412E-4</v>
      </c>
      <c r="AK236" s="80">
        <v>2.0029417</v>
      </c>
      <c r="AL236" s="80">
        <v>4.6801484999999996</v>
      </c>
    </row>
    <row r="237" spans="1:38">
      <c r="A237" s="80" t="s">
        <v>125</v>
      </c>
      <c r="B237" s="80" t="s">
        <v>1</v>
      </c>
      <c r="C237" s="80">
        <v>0.86489713999999995</v>
      </c>
      <c r="D237" s="80">
        <v>0.14612826000000001</v>
      </c>
      <c r="E237" s="80">
        <v>0.10585163</v>
      </c>
      <c r="F237" s="80">
        <v>0.85583717999999998</v>
      </c>
      <c r="G237" s="80">
        <v>2.3006365000000001E-2</v>
      </c>
      <c r="H237" s="80">
        <v>3.8684617999999997E-2</v>
      </c>
      <c r="I237" s="80">
        <v>5.5270802999999999E-3</v>
      </c>
      <c r="J237" s="80">
        <v>1.4443718999999999</v>
      </c>
      <c r="K237" s="80">
        <v>22.606687999999998</v>
      </c>
      <c r="L237" s="80">
        <v>1.292087</v>
      </c>
      <c r="M237" s="80">
        <v>1.3051486999999999</v>
      </c>
      <c r="N237" s="80">
        <v>32.120448000000003</v>
      </c>
      <c r="O237" s="80">
        <v>24.506091000000001</v>
      </c>
      <c r="P237" s="80">
        <v>66.353768000000002</v>
      </c>
      <c r="Q237" s="80">
        <v>176.0779</v>
      </c>
      <c r="R237" s="80">
        <v>67.482016999999999</v>
      </c>
      <c r="S237" s="80">
        <v>52.282868000000001</v>
      </c>
      <c r="T237" s="80">
        <v>27.678225999999999</v>
      </c>
      <c r="U237" s="80">
        <v>156.33019999999999</v>
      </c>
      <c r="V237" s="80">
        <v>161.78927999999999</v>
      </c>
      <c r="W237" s="80">
        <v>304.47161</v>
      </c>
      <c r="X237" s="80">
        <v>501.05318999999997</v>
      </c>
      <c r="Y237" s="80">
        <v>309.73595</v>
      </c>
      <c r="Z237" s="80">
        <v>22.606687999999998</v>
      </c>
      <c r="AA237" s="80">
        <v>161.55857</v>
      </c>
      <c r="AB237" s="80">
        <v>2.9452337000000002</v>
      </c>
      <c r="AC237" s="80">
        <v>212.73125999999999</v>
      </c>
      <c r="AD237" s="80">
        <v>1.8602188</v>
      </c>
      <c r="AE237" s="80">
        <v>261.64920000000001</v>
      </c>
      <c r="AF237" s="80">
        <v>3.8392094000000002E-2</v>
      </c>
      <c r="AG237" s="80">
        <v>13.128126</v>
      </c>
      <c r="AH237" s="80">
        <v>87.802469000000002</v>
      </c>
      <c r="AI237" s="80">
        <v>0.86489713999999995</v>
      </c>
      <c r="AJ237" s="80">
        <v>0.21991728999999999</v>
      </c>
      <c r="AK237" s="80">
        <v>2.1529916999999998</v>
      </c>
      <c r="AL237" s="80">
        <v>6.6787698000000004</v>
      </c>
    </row>
    <row r="238" spans="1:38">
      <c r="A238" s="80" t="s">
        <v>391</v>
      </c>
      <c r="B238" s="80" t="s">
        <v>1</v>
      </c>
      <c r="C238" s="80">
        <v>0</v>
      </c>
      <c r="D238" s="80">
        <v>0</v>
      </c>
      <c r="E238" s="80">
        <v>0</v>
      </c>
      <c r="F238" s="80">
        <v>0</v>
      </c>
      <c r="G238" s="80">
        <v>0</v>
      </c>
      <c r="H238" s="80">
        <v>0</v>
      </c>
      <c r="I238" s="80">
        <v>0</v>
      </c>
      <c r="J238" s="80">
        <v>0</v>
      </c>
      <c r="K238" s="80">
        <v>0</v>
      </c>
      <c r="L238" s="80">
        <v>0</v>
      </c>
      <c r="M238" s="80">
        <v>0</v>
      </c>
      <c r="N238" s="80">
        <v>0</v>
      </c>
      <c r="O238" s="80">
        <v>0</v>
      </c>
      <c r="P238" s="80">
        <v>0</v>
      </c>
      <c r="Q238" s="80">
        <v>0</v>
      </c>
      <c r="R238" s="80">
        <v>0</v>
      </c>
      <c r="S238" s="80">
        <v>0</v>
      </c>
      <c r="T238" s="80">
        <v>0</v>
      </c>
      <c r="U238" s="80">
        <v>0</v>
      </c>
      <c r="V238" s="80">
        <v>0</v>
      </c>
      <c r="W238" s="80">
        <v>0</v>
      </c>
      <c r="X238" s="80">
        <v>0</v>
      </c>
      <c r="Y238" s="80">
        <v>0</v>
      </c>
      <c r="Z238" s="80">
        <v>0</v>
      </c>
      <c r="AA238" s="80">
        <v>0</v>
      </c>
      <c r="AB238" s="80">
        <v>0</v>
      </c>
      <c r="AC238" s="80">
        <v>0</v>
      </c>
      <c r="AD238" s="80">
        <v>0</v>
      </c>
      <c r="AE238" s="80">
        <v>0</v>
      </c>
      <c r="AF238" s="80">
        <v>0</v>
      </c>
      <c r="AG238" s="80">
        <v>0</v>
      </c>
      <c r="AH238" s="80">
        <v>0</v>
      </c>
      <c r="AI238" s="80">
        <v>0</v>
      </c>
      <c r="AJ238" s="80">
        <v>0</v>
      </c>
      <c r="AK238" s="80">
        <v>1.2046124</v>
      </c>
      <c r="AL238" s="80">
        <v>11.86307</v>
      </c>
    </row>
    <row r="239" spans="1:38">
      <c r="A239" s="80" t="s">
        <v>126</v>
      </c>
      <c r="B239" s="80" t="s">
        <v>1</v>
      </c>
      <c r="C239" s="80">
        <v>0.53131017999999997</v>
      </c>
      <c r="D239" s="80">
        <v>6.7498315999999997E-3</v>
      </c>
      <c r="E239" s="80">
        <v>237.31598</v>
      </c>
      <c r="F239" s="80">
        <v>237.44311999999999</v>
      </c>
      <c r="G239" s="82">
        <v>237.39071999999999</v>
      </c>
      <c r="H239" s="80">
        <v>2.3759768000000001E-2</v>
      </c>
      <c r="I239" s="80">
        <v>2.5522609000000002E-4</v>
      </c>
      <c r="J239" s="80">
        <v>6.6704599000000003E-2</v>
      </c>
      <c r="K239" s="80">
        <v>2.4448056</v>
      </c>
      <c r="L239" s="80">
        <v>0.60559883999999997</v>
      </c>
      <c r="M239" s="80">
        <v>0.60878246000000003</v>
      </c>
      <c r="N239" s="80">
        <v>3.3611255999999998</v>
      </c>
      <c r="O239" s="80">
        <v>2.5247476999999998</v>
      </c>
      <c r="P239" s="80">
        <v>35.418613999999998</v>
      </c>
      <c r="Q239" s="80">
        <v>17.478728</v>
      </c>
      <c r="R239" s="80">
        <v>2.4465503000000002</v>
      </c>
      <c r="S239" s="80">
        <v>2.1136423999999998</v>
      </c>
      <c r="T239" s="80">
        <v>5.0451014000000001</v>
      </c>
      <c r="U239" s="80">
        <v>16.946725000000001</v>
      </c>
      <c r="V239" s="80">
        <v>23.195274000000001</v>
      </c>
      <c r="W239" s="80">
        <v>181.53735</v>
      </c>
      <c r="X239" s="80">
        <v>24.172899999999998</v>
      </c>
      <c r="Y239" s="80">
        <v>20.089151999999999</v>
      </c>
      <c r="Z239" s="80">
        <v>2.4448056</v>
      </c>
      <c r="AA239" s="80">
        <v>11.654776</v>
      </c>
      <c r="AB239" s="80">
        <v>0.24770075</v>
      </c>
      <c r="AC239" s="80">
        <v>10.849081</v>
      </c>
      <c r="AD239" s="80">
        <v>0.12540836999999999</v>
      </c>
      <c r="AE239" s="80">
        <v>13.241144999999999</v>
      </c>
      <c r="AF239" s="80">
        <v>1.2843461E-2</v>
      </c>
      <c r="AG239" s="80">
        <v>1.9927223999999999</v>
      </c>
      <c r="AH239" s="80">
        <v>4.6824918000000002</v>
      </c>
      <c r="AI239" s="80">
        <v>0.53131017999999997</v>
      </c>
      <c r="AJ239" s="80">
        <v>0.13501832</v>
      </c>
      <c r="AK239" s="80">
        <v>0.37475911000000001</v>
      </c>
      <c r="AL239" s="80">
        <v>5.3534388999999996</v>
      </c>
    </row>
    <row r="240" spans="1:38">
      <c r="A240" s="80" t="s">
        <v>127</v>
      </c>
      <c r="B240" s="80" t="s">
        <v>1</v>
      </c>
      <c r="C240" s="80">
        <v>0.14323076000000001</v>
      </c>
      <c r="D240" s="80">
        <v>9.3465218999999999E-3</v>
      </c>
      <c r="E240" s="80">
        <v>1.0626053999999999E-2</v>
      </c>
      <c r="F240" s="80">
        <v>6.9860771000000002E-2</v>
      </c>
      <c r="G240" s="80">
        <v>9.101917E-4</v>
      </c>
      <c r="H240" s="80">
        <v>6.4055900000000001E-3</v>
      </c>
      <c r="I240" s="80">
        <v>3.5338999000000002E-4</v>
      </c>
      <c r="J240" s="80">
        <v>9.2363096000000006E-2</v>
      </c>
      <c r="K240" s="80">
        <v>26.007570999999999</v>
      </c>
      <c r="L240" s="80">
        <v>6.3240816000000004</v>
      </c>
      <c r="M240" s="80">
        <v>6.3275690000000004</v>
      </c>
      <c r="N240" s="80">
        <v>38.612586</v>
      </c>
      <c r="O240" s="80">
        <v>72.631754999999998</v>
      </c>
      <c r="P240" s="80">
        <v>162.93852999999999</v>
      </c>
      <c r="Q240" s="80">
        <v>191.20972</v>
      </c>
      <c r="R240" s="80">
        <v>3.0826514999999999</v>
      </c>
      <c r="S240" s="80">
        <v>2.4816254999999998</v>
      </c>
      <c r="T240" s="80">
        <v>39.360315999999997</v>
      </c>
      <c r="U240" s="80">
        <v>150.61358000000001</v>
      </c>
      <c r="V240" s="80">
        <v>245.55982</v>
      </c>
      <c r="W240" s="80">
        <v>57.660893999999999</v>
      </c>
      <c r="X240" s="80">
        <v>142.21942000000001</v>
      </c>
      <c r="Y240" s="80">
        <v>252.38511</v>
      </c>
      <c r="Z240" s="80">
        <v>26.007570999999999</v>
      </c>
      <c r="AA240" s="80">
        <v>41.926451999999998</v>
      </c>
      <c r="AB240" s="80">
        <v>0.24487540999999999</v>
      </c>
      <c r="AC240" s="80">
        <v>22.189070999999998</v>
      </c>
      <c r="AD240" s="80">
        <v>0.16213525000000001</v>
      </c>
      <c r="AE240" s="80">
        <v>27.606217000000001</v>
      </c>
      <c r="AF240" s="80">
        <v>1.6313989000000001E-2</v>
      </c>
      <c r="AG240" s="80">
        <v>2.1587752</v>
      </c>
      <c r="AH240" s="80">
        <v>6.6138893999999997</v>
      </c>
      <c r="AI240" s="80">
        <v>0.14323076000000001</v>
      </c>
      <c r="AJ240" s="80">
        <v>3.6405809999999997E-2</v>
      </c>
      <c r="AK240" s="80">
        <v>2.4629102</v>
      </c>
      <c r="AL240" s="80">
        <v>14.66248</v>
      </c>
    </row>
    <row r="241" spans="1:38">
      <c r="A241" s="80" t="s">
        <v>128</v>
      </c>
      <c r="B241" s="80" t="s">
        <v>1</v>
      </c>
      <c r="C241" s="82">
        <v>0.20879292999999999</v>
      </c>
      <c r="D241" s="82">
        <v>4.4851051000000003E-2</v>
      </c>
      <c r="E241" s="82">
        <v>6.5055369999999996E-3</v>
      </c>
      <c r="F241" s="82">
        <v>0.11525535000000001</v>
      </c>
      <c r="G241" s="82">
        <v>1.4287193999999999E-4</v>
      </c>
      <c r="H241" s="82">
        <v>1.1640922999999999E-2</v>
      </c>
      <c r="I241" s="82">
        <v>6.1127928E-3</v>
      </c>
      <c r="J241" s="82">
        <v>0.86422403999999997</v>
      </c>
      <c r="K241" s="80">
        <v>1.51322</v>
      </c>
      <c r="L241" s="82">
        <v>0.10347632</v>
      </c>
      <c r="M241" s="80">
        <v>3.0649109999999999</v>
      </c>
      <c r="N241" s="80">
        <v>4.8365796999999997</v>
      </c>
      <c r="O241" s="80">
        <v>1.6956955</v>
      </c>
      <c r="P241" s="80">
        <v>7.8174349999999997</v>
      </c>
      <c r="Q241" s="80">
        <v>21.438213000000001</v>
      </c>
      <c r="R241" s="80">
        <v>20.193238000000001</v>
      </c>
      <c r="S241" s="80">
        <v>15.662739999999999</v>
      </c>
      <c r="T241" s="80">
        <v>3.47322</v>
      </c>
      <c r="U241" s="80">
        <v>24.423024000000002</v>
      </c>
      <c r="V241" s="80">
        <v>18.381921999999999</v>
      </c>
      <c r="W241" s="80">
        <v>55.456063</v>
      </c>
      <c r="X241" s="80">
        <v>265.01307000000003</v>
      </c>
      <c r="Y241" s="80">
        <v>122.82968</v>
      </c>
      <c r="Z241" s="80">
        <v>1.51322</v>
      </c>
      <c r="AA241" s="80">
        <v>28.007054</v>
      </c>
      <c r="AB241" s="82">
        <v>0.14017067999999999</v>
      </c>
      <c r="AC241" s="80">
        <v>213.89509000000001</v>
      </c>
      <c r="AD241" s="82">
        <v>0.18936438999999999</v>
      </c>
      <c r="AE241" s="80">
        <v>296.51449000000002</v>
      </c>
      <c r="AF241" s="82">
        <v>2.8026663000000002E-3</v>
      </c>
      <c r="AG241" s="80">
        <v>1.3963277000000001</v>
      </c>
      <c r="AH241" s="80">
        <v>14.299462</v>
      </c>
      <c r="AI241" s="82">
        <v>0.20879292999999999</v>
      </c>
      <c r="AJ241" s="82">
        <v>7.8903216999999998E-2</v>
      </c>
      <c r="AK241" s="80">
        <v>5.3811305000000002E-4</v>
      </c>
      <c r="AL241" s="80">
        <v>3.1216123999999999E-3</v>
      </c>
    </row>
    <row r="242" spans="1:38">
      <c r="A242" s="80" t="s">
        <v>129</v>
      </c>
      <c r="B242" s="80" t="s">
        <v>1</v>
      </c>
      <c r="C242" s="80">
        <v>6.2134157000000002E-2</v>
      </c>
      <c r="D242" s="80">
        <v>1.3721852999999999E-2</v>
      </c>
      <c r="E242" s="80">
        <v>1.9714060999999998E-3</v>
      </c>
      <c r="F242" s="80">
        <v>7.7638599000000004E-3</v>
      </c>
      <c r="G242" s="82">
        <v>5.2759130000000003E-5</v>
      </c>
      <c r="H242" s="80">
        <v>2.7794425999999998E-3</v>
      </c>
      <c r="I242" s="80">
        <v>5.1873708000000002E-4</v>
      </c>
      <c r="J242" s="80">
        <v>0.13563094000000001</v>
      </c>
      <c r="K242" s="80">
        <v>0.35976415</v>
      </c>
      <c r="L242" s="80">
        <v>4.7172699999999998E-2</v>
      </c>
      <c r="M242" s="80">
        <v>4.7351506000000002E-2</v>
      </c>
      <c r="N242" s="80">
        <v>1.0658293999999999</v>
      </c>
      <c r="O242" s="80">
        <v>0.65382178000000002</v>
      </c>
      <c r="P242" s="80">
        <v>1.6615489000000001</v>
      </c>
      <c r="Q242" s="80">
        <v>4.1855357</v>
      </c>
      <c r="R242" s="80">
        <v>10.624292000000001</v>
      </c>
      <c r="S242" s="80">
        <v>8.1905572000000006</v>
      </c>
      <c r="T242" s="80">
        <v>1.1121729</v>
      </c>
      <c r="U242" s="80">
        <v>5.4069152999999996</v>
      </c>
      <c r="V242" s="80">
        <v>4.1173910999999999</v>
      </c>
      <c r="W242" s="80">
        <v>8.0426939999999991</v>
      </c>
      <c r="X242" s="80">
        <v>14.777177999999999</v>
      </c>
      <c r="Y242" s="80">
        <v>44.472707999999997</v>
      </c>
      <c r="Z242" s="80">
        <v>0.35976415</v>
      </c>
      <c r="AA242" s="80">
        <v>1.6744729</v>
      </c>
      <c r="AB242" s="80">
        <v>1.4738859E-2</v>
      </c>
      <c r="AC242" s="80">
        <v>115.76159</v>
      </c>
      <c r="AD242" s="80">
        <v>1.8576711999999999E-2</v>
      </c>
      <c r="AE242" s="80">
        <v>135.83770000000001</v>
      </c>
      <c r="AF242" s="80">
        <v>1.0044194E-3</v>
      </c>
      <c r="AG242" s="80">
        <v>0.53181263000000001</v>
      </c>
      <c r="AH242" s="80">
        <v>6.7844806999999996</v>
      </c>
      <c r="AI242" s="80">
        <v>6.2134157000000002E-2</v>
      </c>
      <c r="AJ242" s="80">
        <v>1.5805013999999999E-2</v>
      </c>
      <c r="AK242" s="80">
        <v>3.6797251000000003E-2</v>
      </c>
      <c r="AL242" s="80">
        <v>3.1061649</v>
      </c>
    </row>
    <row r="243" spans="1:38">
      <c r="A243" s="80" t="s">
        <v>130</v>
      </c>
      <c r="B243" s="80" t="s">
        <v>1</v>
      </c>
      <c r="C243" s="82">
        <v>16.291533000000001</v>
      </c>
      <c r="D243" s="82">
        <v>6.4512982000000001</v>
      </c>
      <c r="E243" s="82">
        <v>6.1744895000000001E-2</v>
      </c>
      <c r="F243" s="82">
        <v>0.53229201000000004</v>
      </c>
      <c r="G243" s="82">
        <v>7.4842436E-4</v>
      </c>
      <c r="H243" s="82">
        <v>9.1308767999999998E-2</v>
      </c>
      <c r="I243" s="82">
        <v>8.3377143</v>
      </c>
      <c r="J243" s="82">
        <v>1.3527579000000001</v>
      </c>
      <c r="K243" s="82">
        <v>3.7495609000000001</v>
      </c>
      <c r="L243" s="82">
        <v>0.64880821</v>
      </c>
      <c r="M243" s="82">
        <v>2.066344</v>
      </c>
      <c r="N243" s="82">
        <v>33.691504999999999</v>
      </c>
      <c r="O243" s="82">
        <v>2.5835352999999999</v>
      </c>
      <c r="P243" s="82">
        <v>57.533920000000002</v>
      </c>
      <c r="Q243" s="82">
        <v>107.78569</v>
      </c>
      <c r="R243" s="82">
        <v>9.5265956000000003</v>
      </c>
      <c r="S243" s="82">
        <v>7.4095405999999997</v>
      </c>
      <c r="T243" s="82">
        <v>11.042987999999999</v>
      </c>
      <c r="U243" s="82">
        <v>73.117596000000006</v>
      </c>
      <c r="V243" s="82">
        <v>113.18794</v>
      </c>
      <c r="W243" s="82">
        <v>64.709434999999999</v>
      </c>
      <c r="X243" s="82">
        <v>239.29604</v>
      </c>
      <c r="Y243" s="82">
        <v>80.538584999999998</v>
      </c>
      <c r="Z243" s="82">
        <v>3.7495609000000001</v>
      </c>
      <c r="AA243" s="82">
        <v>64.107287999999997</v>
      </c>
      <c r="AB243" s="82">
        <v>6.1806272000000002E-2</v>
      </c>
      <c r="AC243" s="82">
        <v>94.038210000000007</v>
      </c>
      <c r="AD243" s="82">
        <v>1.9628097</v>
      </c>
      <c r="AE243" s="82">
        <v>103.16464000000001</v>
      </c>
      <c r="AF243" s="82">
        <v>1.3321924000000001E-2</v>
      </c>
      <c r="AG243" s="82">
        <v>2.3884498000000001</v>
      </c>
      <c r="AH243" s="82">
        <v>15.19806</v>
      </c>
      <c r="AI243" s="82">
        <v>16.291533000000001</v>
      </c>
      <c r="AJ243" s="82">
        <v>0.33168811999999998</v>
      </c>
      <c r="AK243" s="82">
        <v>1.4968624E-6</v>
      </c>
      <c r="AL243" s="82">
        <v>1.4290478E-6</v>
      </c>
    </row>
    <row r="244" spans="1:38">
      <c r="A244" s="80" t="s">
        <v>131</v>
      </c>
      <c r="B244" s="80" t="s">
        <v>1</v>
      </c>
      <c r="C244" s="80">
        <v>1.2973706000000001E-5</v>
      </c>
      <c r="D244" s="80">
        <v>4.86701E-6</v>
      </c>
      <c r="E244" s="80">
        <v>2.1672867E-6</v>
      </c>
      <c r="F244" s="80">
        <v>1.2770698000000001E-5</v>
      </c>
      <c r="G244" s="82">
        <v>3.9306303999999999E-8</v>
      </c>
      <c r="H244" s="80">
        <v>5.8035656999999999E-7</v>
      </c>
      <c r="I244" s="82">
        <v>1.8394528999999999E-7</v>
      </c>
      <c r="J244" s="80">
        <v>4.8094747999999997E-5</v>
      </c>
      <c r="K244" s="80">
        <v>1.5074235999999999E-3</v>
      </c>
      <c r="L244" s="80">
        <v>1.2639645999999999E-5</v>
      </c>
      <c r="M244" s="80">
        <v>7.6462329999999997E-4</v>
      </c>
      <c r="N244" s="80">
        <v>3.9877271000000004E-3</v>
      </c>
      <c r="O244" s="80">
        <v>7.3772542E-4</v>
      </c>
      <c r="P244" s="80">
        <v>1.0521144E-2</v>
      </c>
      <c r="Q244" s="80">
        <v>5.4057792E-2</v>
      </c>
      <c r="R244" s="80">
        <v>1.1204772999999999E-2</v>
      </c>
      <c r="S244" s="80">
        <v>1.1028648E-2</v>
      </c>
      <c r="T244" s="80">
        <v>1.4580119E-3</v>
      </c>
      <c r="U244" s="80">
        <v>5.7310100000000003E-2</v>
      </c>
      <c r="V244" s="80">
        <v>3.7434390999999997E-2</v>
      </c>
      <c r="W244" s="80">
        <v>5.1115129999999998E-3</v>
      </c>
      <c r="X244" s="80">
        <v>4.7729486000000002E-2</v>
      </c>
      <c r="Y244" s="80">
        <v>3.4979661E-3</v>
      </c>
      <c r="Z244" s="80">
        <v>1.5074235999999999E-3</v>
      </c>
      <c r="AA244" s="80">
        <v>3.3482969000000001E-2</v>
      </c>
      <c r="AB244" s="80">
        <v>1.3636660999999999E-5</v>
      </c>
      <c r="AC244" s="80">
        <v>1.8856242000000001E-3</v>
      </c>
      <c r="AD244" s="80">
        <v>3.6494025000000002E-5</v>
      </c>
      <c r="AE244" s="80">
        <v>3.0637470999999999E-3</v>
      </c>
      <c r="AF244" s="80">
        <v>1.3837992000000001E-6</v>
      </c>
      <c r="AG244" s="80">
        <v>5.6321121999999997E-4</v>
      </c>
      <c r="AH244" s="80">
        <v>3.1651275E-3</v>
      </c>
      <c r="AI244" s="80">
        <v>1.2973706000000001E-5</v>
      </c>
      <c r="AJ244" s="80">
        <v>3.3001510999999998E-6</v>
      </c>
      <c r="AK244" s="80">
        <v>0.18352846</v>
      </c>
      <c r="AL244" s="80">
        <v>0.13053496000000001</v>
      </c>
    </row>
    <row r="245" spans="1:38">
      <c r="A245" s="80" t="s">
        <v>132</v>
      </c>
      <c r="B245" s="80" t="s">
        <v>1</v>
      </c>
      <c r="C245" s="80">
        <v>7.1639312000000002E-3</v>
      </c>
      <c r="D245" s="80">
        <v>3.3097099E-3</v>
      </c>
      <c r="E245" s="80">
        <v>4.4129127999999998E-4</v>
      </c>
      <c r="F245" s="80">
        <v>2.7512105999999998E-3</v>
      </c>
      <c r="G245" s="82">
        <v>9.1368346999999996E-6</v>
      </c>
      <c r="H245" s="80">
        <v>3.2050986E-4</v>
      </c>
      <c r="I245" s="80">
        <v>1.2514412999999999E-4</v>
      </c>
      <c r="J245" s="80">
        <v>3.2697783000000001E-2</v>
      </c>
      <c r="K245" s="80">
        <v>1.036635</v>
      </c>
      <c r="L245" s="80">
        <v>4.7947247E-3</v>
      </c>
      <c r="M245" s="80">
        <v>3.3699914999999997E-2</v>
      </c>
      <c r="N245" s="80">
        <v>0.50799238000000002</v>
      </c>
      <c r="O245" s="80">
        <v>0.12749506999999999</v>
      </c>
      <c r="P245" s="80">
        <v>1.2133366999999999</v>
      </c>
      <c r="Q245" s="80">
        <v>4.3663036999999996</v>
      </c>
      <c r="R245" s="80">
        <v>0.15330070000000001</v>
      </c>
      <c r="S245" s="80">
        <v>0.12209718</v>
      </c>
      <c r="T245" s="80">
        <v>0.27890140000000002</v>
      </c>
      <c r="U245" s="80">
        <v>3.8878282</v>
      </c>
      <c r="V245" s="80">
        <v>3.3789001999999999</v>
      </c>
      <c r="W245" s="80">
        <v>0.93171877000000003</v>
      </c>
      <c r="X245" s="80">
        <v>2.7614681999999999</v>
      </c>
      <c r="Y245" s="80">
        <v>0.69851753999999999</v>
      </c>
      <c r="Z245" s="80">
        <v>1.036635</v>
      </c>
      <c r="AA245" s="80">
        <v>1.4835582</v>
      </c>
      <c r="AB245" s="80">
        <v>1.2004648000000001E-3</v>
      </c>
      <c r="AC245" s="80">
        <v>0.16232125999999999</v>
      </c>
      <c r="AD245" s="80">
        <v>2.8429358999999999E-3</v>
      </c>
      <c r="AE245" s="80">
        <v>0.73528150000000003</v>
      </c>
      <c r="AF245" s="80">
        <v>5.9469310999999997E-4</v>
      </c>
      <c r="AG245" s="80">
        <v>3.7438875000000003E-2</v>
      </c>
      <c r="AH245" s="80">
        <v>3.1048629999999999</v>
      </c>
      <c r="AI245" s="80">
        <v>7.1639312000000002E-3</v>
      </c>
      <c r="AJ245" s="80">
        <v>1.8230716999999999E-3</v>
      </c>
      <c r="AK245" s="80">
        <v>15.283021</v>
      </c>
      <c r="AL245" s="80">
        <v>37.165452999999999</v>
      </c>
    </row>
    <row r="246" spans="1:38">
      <c r="A246" s="80" t="s">
        <v>133</v>
      </c>
      <c r="B246" s="80" t="s">
        <v>1</v>
      </c>
      <c r="C246" s="80">
        <v>5.8087977999999997E-8</v>
      </c>
      <c r="D246" s="80">
        <v>2.3824637E-9</v>
      </c>
      <c r="E246" s="80">
        <v>4.7167786999999999E-9</v>
      </c>
      <c r="F246" s="80">
        <v>4.9504143999999997E-8</v>
      </c>
      <c r="G246" s="82">
        <v>1.3086824999999999E-10</v>
      </c>
      <c r="H246" s="80">
        <v>2.5977732E-9</v>
      </c>
      <c r="I246" s="80">
        <v>9.0047066999999995E-11</v>
      </c>
      <c r="J246" s="80">
        <v>2.3544909000000001E-8</v>
      </c>
      <c r="K246" s="80">
        <v>7.1063163000000006E-5</v>
      </c>
      <c r="L246" s="80">
        <v>3.4608491000000002E-8</v>
      </c>
      <c r="M246" s="80">
        <v>3.6075299000000003E-8</v>
      </c>
      <c r="N246" s="80">
        <v>1.5072277E-5</v>
      </c>
      <c r="O246" s="80">
        <v>3.2130557E-6</v>
      </c>
      <c r="P246" s="80">
        <v>3.6637317000000002E-5</v>
      </c>
      <c r="Q246" s="80">
        <v>5.5163334000000001E-5</v>
      </c>
      <c r="R246" s="80">
        <v>4.7642616999999998E-6</v>
      </c>
      <c r="S246" s="80">
        <v>3.4545072999999999E-6</v>
      </c>
      <c r="T246" s="80">
        <v>3.3535886000000001E-6</v>
      </c>
      <c r="U246" s="80">
        <v>3.5973663999999999E-5</v>
      </c>
      <c r="V246" s="80">
        <v>3.7496010000000002E-5</v>
      </c>
      <c r="W246" s="80">
        <v>1.3857502E-5</v>
      </c>
      <c r="X246" s="80">
        <v>3.5410602000000002E-5</v>
      </c>
      <c r="Y246" s="80">
        <v>7.1327694999999996E-6</v>
      </c>
      <c r="Z246" s="80">
        <v>7.1063163000000006E-5</v>
      </c>
      <c r="AA246" s="80">
        <v>5.3319366000000004E-6</v>
      </c>
      <c r="AB246" s="80">
        <v>8.5018443999999997E-8</v>
      </c>
      <c r="AC246" s="80">
        <v>4.5100849000000001E-6</v>
      </c>
      <c r="AD246" s="80">
        <v>2.1074010000000001E-8</v>
      </c>
      <c r="AE246" s="80">
        <v>4.1565984000000003E-6</v>
      </c>
      <c r="AF246" s="80">
        <v>3.1251650999999999E-8</v>
      </c>
      <c r="AG246" s="80">
        <v>1.4952583E-6</v>
      </c>
      <c r="AH246" s="80">
        <v>1.4115264E-6</v>
      </c>
      <c r="AI246" s="80">
        <v>5.8087977999999997E-8</v>
      </c>
      <c r="AJ246" s="80">
        <v>1.4763727E-8</v>
      </c>
      <c r="AK246" s="80">
        <v>7.5621869999999994E-2</v>
      </c>
      <c r="AL246" s="80">
        <v>0.17946075</v>
      </c>
    </row>
    <row r="247" spans="1:38">
      <c r="A247" s="80" t="s">
        <v>134</v>
      </c>
      <c r="B247" s="80" t="s">
        <v>1</v>
      </c>
      <c r="C247" s="80">
        <v>4.4986022999999997E-3</v>
      </c>
      <c r="D247" s="80">
        <v>2.1664623999999999E-4</v>
      </c>
      <c r="E247" s="80">
        <v>6.2068401E-4</v>
      </c>
      <c r="F247" s="80">
        <v>6.5091792000000004E-3</v>
      </c>
      <c r="G247" s="80">
        <v>1.1736255999999999E-5</v>
      </c>
      <c r="H247" s="80">
        <v>2.0118651E-4</v>
      </c>
      <c r="I247" s="80">
        <v>8.1885461000000004E-6</v>
      </c>
      <c r="J247" s="80">
        <v>2.1410833999999999E-3</v>
      </c>
      <c r="K247" s="80">
        <v>5.2085043000000004</v>
      </c>
      <c r="L247" s="80">
        <v>3.6184928999999999E-3</v>
      </c>
      <c r="M247" s="80">
        <v>3.7348200999999998E-3</v>
      </c>
      <c r="N247" s="80">
        <v>1.3967422</v>
      </c>
      <c r="O247" s="80">
        <v>0.36965824000000003</v>
      </c>
      <c r="P247" s="80">
        <v>3.3091046999999998</v>
      </c>
      <c r="Q247" s="80">
        <v>7.2769174000000003</v>
      </c>
      <c r="R247" s="80">
        <v>0.37058867000000001</v>
      </c>
      <c r="S247" s="80">
        <v>0.27128173999999999</v>
      </c>
      <c r="T247" s="80">
        <v>0.4389576</v>
      </c>
      <c r="U247" s="80">
        <v>4.7315018000000002</v>
      </c>
      <c r="V247" s="80">
        <v>4.8561050999999997</v>
      </c>
      <c r="W247" s="80">
        <v>1.8092766</v>
      </c>
      <c r="X247" s="80">
        <v>4.6518480000000002</v>
      </c>
      <c r="Y247" s="80">
        <v>0.92159915999999997</v>
      </c>
      <c r="Z247" s="80">
        <v>5.2085043000000004</v>
      </c>
      <c r="AA247" s="80">
        <v>0.66475680999999998</v>
      </c>
      <c r="AB247" s="80">
        <v>1.1188718E-2</v>
      </c>
      <c r="AC247" s="80">
        <v>0.49062233</v>
      </c>
      <c r="AD247" s="80">
        <v>2.3545146E-3</v>
      </c>
      <c r="AE247" s="80">
        <v>0.48575789000000003</v>
      </c>
      <c r="AF247" s="80">
        <v>2.4005475E-3</v>
      </c>
      <c r="AG247" s="80">
        <v>0.18242852000000001</v>
      </c>
      <c r="AH247" s="80">
        <v>0.12487076</v>
      </c>
      <c r="AI247" s="80">
        <v>4.4986022999999997E-3</v>
      </c>
      <c r="AJ247" s="80">
        <v>1.1434226E-3</v>
      </c>
      <c r="AK247" s="80">
        <v>5.8441254000000002</v>
      </c>
      <c r="AL247" s="80">
        <v>4.5888891000000003</v>
      </c>
    </row>
    <row r="248" spans="1:38">
      <c r="A248" s="80" t="s">
        <v>135</v>
      </c>
      <c r="B248" s="80" t="s">
        <v>1</v>
      </c>
      <c r="C248" s="80">
        <v>9.1574801999999997E-2</v>
      </c>
      <c r="D248" s="80">
        <v>3.9398790000000003E-2</v>
      </c>
      <c r="E248" s="80">
        <v>4.9146368999999999E-4</v>
      </c>
      <c r="F248" s="80">
        <v>8.6752424999999994E-3</v>
      </c>
      <c r="G248" s="80">
        <v>9.8967279999999995E-5</v>
      </c>
      <c r="H248" s="80">
        <v>4.0971823000000001E-3</v>
      </c>
      <c r="I248" s="80">
        <v>1.4897173000000001E-3</v>
      </c>
      <c r="J248" s="80">
        <v>0.38923368000000003</v>
      </c>
      <c r="K248" s="80">
        <v>0.27467035000000001</v>
      </c>
      <c r="L248" s="80">
        <v>6.5059573999999995E-2</v>
      </c>
      <c r="M248" s="80">
        <v>6.5432773E-2</v>
      </c>
      <c r="N248" s="80">
        <v>3.9464910999999998</v>
      </c>
      <c r="O248" s="80">
        <v>10.821344</v>
      </c>
      <c r="P248" s="80">
        <v>1.8451687000000001</v>
      </c>
      <c r="Q248" s="80">
        <v>4.5942335999999999</v>
      </c>
      <c r="R248" s="80">
        <v>1.0490584999999999</v>
      </c>
      <c r="S248" s="80">
        <v>0.87672196999999996</v>
      </c>
      <c r="T248" s="80">
        <v>0.45258025000000002</v>
      </c>
      <c r="U248" s="80">
        <v>8.9169595000000008</v>
      </c>
      <c r="V248" s="80">
        <v>7.3331379999999999</v>
      </c>
      <c r="W248" s="80">
        <v>9.458952</v>
      </c>
      <c r="X248" s="80">
        <v>16.940819000000001</v>
      </c>
      <c r="Y248" s="80">
        <v>13.102395</v>
      </c>
      <c r="Z248" s="80">
        <v>0.27467035000000001</v>
      </c>
      <c r="AA248" s="80">
        <v>2.6371652999999999</v>
      </c>
      <c r="AB248" s="80">
        <v>4.7243427000000001E-3</v>
      </c>
      <c r="AC248" s="80">
        <v>0.75786602000000003</v>
      </c>
      <c r="AD248" s="80">
        <v>2.5752726E-2</v>
      </c>
      <c r="AE248" s="80">
        <v>8.9103779000000003</v>
      </c>
      <c r="AF248" s="80">
        <v>1.5858673E-3</v>
      </c>
      <c r="AG248" s="80">
        <v>15.281779999999999</v>
      </c>
      <c r="AH248" s="80">
        <v>37.030284000000002</v>
      </c>
      <c r="AI248" s="80">
        <v>9.1574801999999997E-2</v>
      </c>
      <c r="AJ248" s="80">
        <v>2.3306944E-2</v>
      </c>
    </row>
    <row r="249" spans="1:38">
      <c r="A249" s="80" t="s">
        <v>136</v>
      </c>
      <c r="B249" s="80" t="s">
        <v>1</v>
      </c>
      <c r="C249" s="80">
        <v>1.7000702000000001</v>
      </c>
      <c r="D249" s="80">
        <v>2.6241563999999999</v>
      </c>
      <c r="E249" s="80">
        <v>1.1114292E-2</v>
      </c>
      <c r="F249" s="80">
        <v>9.3908075000000008E-3</v>
      </c>
      <c r="G249" s="80">
        <v>8.9475564000000003E-5</v>
      </c>
      <c r="H249" s="80">
        <v>0.85685986000000003</v>
      </c>
      <c r="I249" s="80">
        <v>1.3172166000000001</v>
      </c>
      <c r="J249" s="80">
        <v>10.699005</v>
      </c>
      <c r="K249" s="80">
        <v>0.16316553</v>
      </c>
      <c r="L249" s="80">
        <v>1.6141180000000001E-2</v>
      </c>
      <c r="M249" s="80">
        <v>1.6619109E-2</v>
      </c>
      <c r="N249" s="80">
        <v>0.52873435000000002</v>
      </c>
      <c r="O249" s="80">
        <v>0.10898555</v>
      </c>
      <c r="P249" s="80">
        <v>1.0206367000000001</v>
      </c>
      <c r="Q249" s="80">
        <v>4.1985266000000001</v>
      </c>
      <c r="R249" s="80">
        <v>0.21154888999999999</v>
      </c>
      <c r="S249" s="80">
        <v>0.19331947999999999</v>
      </c>
      <c r="T249" s="80">
        <v>0.87714535000000005</v>
      </c>
      <c r="U249" s="80">
        <v>3.3185630000000002</v>
      </c>
      <c r="V249" s="80">
        <v>220.08234999999999</v>
      </c>
      <c r="W249" s="80">
        <v>3.7207881999999999</v>
      </c>
      <c r="X249" s="80">
        <v>18.271477000000001</v>
      </c>
      <c r="Y249" s="80">
        <v>1.6419296000000001</v>
      </c>
      <c r="Z249" s="80">
        <v>0.16316553</v>
      </c>
      <c r="AA249" s="80">
        <v>0.84151980999999998</v>
      </c>
      <c r="AB249" s="80">
        <v>4.3248456999999997E-2</v>
      </c>
      <c r="AC249" s="80">
        <v>0.58103667000000003</v>
      </c>
      <c r="AD249" s="80">
        <v>2.6485369000000002E-2</v>
      </c>
      <c r="AE249" s="80">
        <v>0.70096948000000003</v>
      </c>
      <c r="AF249" s="80">
        <v>3.4322661000000003E-4</v>
      </c>
      <c r="AG249" s="80">
        <v>8.2403076000000006E-2</v>
      </c>
      <c r="AH249" s="80">
        <v>0.20016456999999999</v>
      </c>
      <c r="AI249" s="80">
        <v>1.7000702000000001</v>
      </c>
      <c r="AJ249" s="80">
        <v>1.6821044000000001</v>
      </c>
    </row>
    <row r="250" spans="1:38">
      <c r="A250" s="80" t="s">
        <v>137</v>
      </c>
      <c r="B250" s="80" t="s">
        <v>1</v>
      </c>
      <c r="C250" s="80">
        <v>0.16914056</v>
      </c>
      <c r="D250" s="80">
        <v>7.6418475E-3</v>
      </c>
      <c r="E250" s="80">
        <v>1.9372540000000001E-2</v>
      </c>
      <c r="F250" s="80">
        <v>0.20305674000000001</v>
      </c>
      <c r="G250" s="80">
        <v>4.1641645000000001E-4</v>
      </c>
      <c r="H250" s="80">
        <v>7.5642595E-3</v>
      </c>
      <c r="I250" s="80">
        <v>2.8883461000000002E-4</v>
      </c>
      <c r="J250" s="80">
        <v>7.5522516999999997E-2</v>
      </c>
      <c r="K250" s="80">
        <v>200.50613999999999</v>
      </c>
      <c r="L250" s="80">
        <v>0.12144402999999999</v>
      </c>
      <c r="M250" s="80">
        <v>0.12577661000000001</v>
      </c>
      <c r="N250" s="80">
        <v>49.120902999999998</v>
      </c>
      <c r="O250" s="80">
        <v>12.599410000000001</v>
      </c>
      <c r="P250" s="80">
        <v>117.12366</v>
      </c>
      <c r="Q250" s="80">
        <v>226.70304999999999</v>
      </c>
      <c r="R250" s="80">
        <v>13.926587</v>
      </c>
      <c r="S250" s="80">
        <v>10.158459000000001</v>
      </c>
      <c r="T250" s="80">
        <v>13.717501</v>
      </c>
      <c r="U250" s="80">
        <v>147.54486</v>
      </c>
      <c r="V250" s="80">
        <v>152.14374000000001</v>
      </c>
      <c r="W250" s="80">
        <v>56.550362999999997</v>
      </c>
      <c r="X250" s="80">
        <v>144.18355</v>
      </c>
      <c r="Y250" s="80">
        <v>28.903161000000001</v>
      </c>
      <c r="Z250" s="80">
        <v>200.50613999999999</v>
      </c>
      <c r="AA250" s="80">
        <v>21.074186000000001</v>
      </c>
      <c r="AB250" s="80">
        <v>0.34872787</v>
      </c>
      <c r="AC250" s="80">
        <v>16.235547</v>
      </c>
      <c r="AD250" s="80">
        <v>7.7940094000000001E-2</v>
      </c>
      <c r="AE250" s="80">
        <v>15.70082</v>
      </c>
      <c r="AF250" s="80">
        <v>9.0588613999999998E-2</v>
      </c>
      <c r="AG250" s="80">
        <v>5.8194150999999996</v>
      </c>
      <c r="AH250" s="80">
        <v>4.4495294999999997</v>
      </c>
      <c r="AI250" s="80">
        <v>0.16914056</v>
      </c>
      <c r="AJ250" s="80">
        <v>4.2990141000000003E-2</v>
      </c>
    </row>
  </sheetData>
  <phoneticPr fontId="0" type="noConversion"/>
  <pageMargins left="0.78740157499999996" right="0.78740157499999996" top="0.984251969" bottom="0.984251969" header="0.4921259845" footer="0.4921259845"/>
  <pageSetup paperSize="9" scale="32" orientation="landscape"/>
  <headerFooter alignWithMargins="0">
    <oddHeader>&amp;F</oddHeader>
    <oddFooter>&amp;L&amp;B Vertraulich&amp;B&amp;C&amp;D&amp;RSeite &amp;P</oddFooter>
  </headerFooter>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77"/>
  <sheetViews>
    <sheetView topLeftCell="A2" zoomScale="85" zoomScaleNormal="85" zoomScalePageLayoutView="85" workbookViewId="0">
      <pane ySplit="6" topLeftCell="A8" activePane="bottomLeft" state="frozen"/>
      <selection activeCell="A2" sqref="A2"/>
      <selection pane="bottomLeft" activeCell="C69" sqref="C69"/>
    </sheetView>
  </sheetViews>
  <sheetFormatPr baseColWidth="10" defaultColWidth="10.86328125" defaultRowHeight="13.5" outlineLevelRow="1"/>
  <cols>
    <col min="1" max="1" width="16.6640625" style="80" customWidth="1"/>
    <col min="2" max="2" width="11.1328125" style="80" customWidth="1"/>
    <col min="3" max="4" width="11.6640625" style="80" bestFit="1" customWidth="1"/>
    <col min="5" max="5" width="12.6640625" style="80" customWidth="1"/>
    <col min="6" max="6" width="11.46484375" style="80" customWidth="1"/>
    <col min="7" max="7" width="13.46484375" style="80" customWidth="1"/>
    <col min="8" max="8" width="11.46484375" style="80" customWidth="1"/>
    <col min="9" max="11" width="10.86328125" style="80"/>
    <col min="12" max="12" width="14.33203125" style="80" customWidth="1"/>
    <col min="13" max="13" width="14.46484375" style="80" customWidth="1"/>
    <col min="14" max="16384" width="10.86328125" style="80"/>
  </cols>
  <sheetData>
    <row r="1" spans="1:15" outlineLevel="1">
      <c r="A1" s="80" t="s">
        <v>8</v>
      </c>
      <c r="C1" s="80">
        <v>1</v>
      </c>
      <c r="D1" s="80">
        <v>2</v>
      </c>
      <c r="E1" s="80">
        <v>3</v>
      </c>
      <c r="F1" s="80">
        <v>4</v>
      </c>
      <c r="G1" s="80">
        <v>5</v>
      </c>
      <c r="H1" s="80">
        <v>6</v>
      </c>
      <c r="I1" s="80">
        <v>7</v>
      </c>
      <c r="J1" s="80">
        <v>8</v>
      </c>
      <c r="K1" s="80">
        <v>9</v>
      </c>
      <c r="L1" s="80">
        <v>10</v>
      </c>
      <c r="M1" s="80">
        <v>11</v>
      </c>
    </row>
    <row r="2" spans="1:15" s="99" customFormat="1" ht="40.5">
      <c r="C2" s="100" t="s">
        <v>173</v>
      </c>
      <c r="D2" s="100" t="s">
        <v>174</v>
      </c>
      <c r="E2" s="100" t="s">
        <v>176</v>
      </c>
      <c r="F2" s="100" t="s">
        <v>177</v>
      </c>
      <c r="G2" s="100" t="s">
        <v>178</v>
      </c>
      <c r="H2" s="100" t="s">
        <v>179</v>
      </c>
      <c r="I2" s="100" t="s">
        <v>180</v>
      </c>
      <c r="J2" s="100" t="s">
        <v>181</v>
      </c>
      <c r="K2" s="100" t="s">
        <v>182</v>
      </c>
      <c r="L2" s="100" t="s">
        <v>183</v>
      </c>
      <c r="M2" s="100" t="s">
        <v>184</v>
      </c>
    </row>
    <row r="3" spans="1:15" s="83" customFormat="1">
      <c r="A3" s="83" t="s">
        <v>186</v>
      </c>
      <c r="C3" s="77">
        <v>30</v>
      </c>
      <c r="D3" s="77">
        <v>31</v>
      </c>
      <c r="E3" s="77">
        <v>12</v>
      </c>
      <c r="F3" s="77">
        <v>34</v>
      </c>
      <c r="G3" s="77">
        <v>33</v>
      </c>
      <c r="H3" s="77">
        <v>36</v>
      </c>
      <c r="I3" s="77">
        <v>35</v>
      </c>
      <c r="J3" s="77">
        <v>32</v>
      </c>
      <c r="K3" s="77">
        <v>38</v>
      </c>
      <c r="L3" s="77">
        <v>37</v>
      </c>
      <c r="M3" s="77">
        <v>37</v>
      </c>
      <c r="N3" s="77"/>
      <c r="O3" s="77"/>
    </row>
    <row r="4" spans="1:15" s="83" customFormat="1">
      <c r="A4" s="83" t="s">
        <v>185</v>
      </c>
      <c r="C4" s="77"/>
      <c r="D4" s="77"/>
      <c r="E4" s="77"/>
      <c r="F4" s="77">
        <v>49</v>
      </c>
      <c r="G4" s="77">
        <v>49</v>
      </c>
      <c r="H4" s="77"/>
      <c r="I4" s="77">
        <v>50</v>
      </c>
      <c r="J4" s="77">
        <v>50</v>
      </c>
      <c r="K4" s="77"/>
      <c r="L4" s="77">
        <v>38</v>
      </c>
      <c r="M4" s="77">
        <v>38</v>
      </c>
      <c r="N4" s="77"/>
      <c r="O4" s="77"/>
    </row>
    <row r="5" spans="1:15" s="83" customFormat="1">
      <c r="A5" s="83" t="s">
        <v>5</v>
      </c>
      <c r="C5" s="83">
        <f>INDEX(Eingabe!$1:$1048576,MATCH(C$3,Eingabe!$A:$A,0),3)</f>
        <v>0</v>
      </c>
      <c r="D5" s="83">
        <f>INDEX(Eingabe!$1:$1048576,MATCH(D$3,Eingabe!$A:$A,0),3)</f>
        <v>0</v>
      </c>
      <c r="E5" s="83">
        <f>INDEX(Eingabe!$1:$1048576,MATCH(E$3,Eingabe!$A:$A,0),3)</f>
        <v>0</v>
      </c>
      <c r="F5" s="83">
        <f>INDEX(Eingabe!$1:$1048576,MATCH(F$3,Eingabe!$A:$A,0),3)</f>
        <v>0</v>
      </c>
      <c r="G5" s="83">
        <f>INDEX(Eingabe!$1:$1048576,MATCH(G$3,Eingabe!$A:$A,0),3)</f>
        <v>0</v>
      </c>
      <c r="H5" s="83">
        <f>INDEX(Eingabe!$1:$1048576,MATCH(H$3,Eingabe!$A:$A,0),3)</f>
        <v>0</v>
      </c>
      <c r="I5" s="83">
        <f>INDEX(Eingabe!$1:$1048576,MATCH(I$3,Eingabe!$A:$A,0),3)</f>
        <v>0</v>
      </c>
      <c r="J5" s="83">
        <f>INDEX(Eingabe!$1:$1048576,MATCH(J$3,Eingabe!$A:$A,0),3)</f>
        <v>0</v>
      </c>
      <c r="K5" s="83">
        <f>INDEX(Eingabe!$1:$1048576,MATCH(K$3,Eingabe!$A:$A,0),3)</f>
        <v>0</v>
      </c>
      <c r="L5" s="83">
        <f>INDEX(Eingabe!$1:$1048576,MATCH(L$3,Eingabe!$A:$A,0),3)</f>
        <v>0</v>
      </c>
      <c r="M5" s="83">
        <f>INDEX(Eingabe!$1:$1048576,MATCH(M$3,Eingabe!$A:$A,0),3)</f>
        <v>0</v>
      </c>
    </row>
    <row r="6" spans="1:15" s="83" customFormat="1">
      <c r="A6" s="83" t="s">
        <v>6</v>
      </c>
      <c r="F6" s="83">
        <f>INDEX(Eingabe!$1:$1048576,MATCH(F$4,Eingabe!$A:$A,0),3)</f>
        <v>0</v>
      </c>
      <c r="G6" s="83">
        <f>INDEX(Eingabe!$1:$1048576,MATCH(G$4,Eingabe!$A:$A,0),3)</f>
        <v>0</v>
      </c>
      <c r="I6" s="83">
        <f>INDEX(Eingabe!$1:$1048576,MATCH(I$4,Eingabe!$A:$A,0),3)</f>
        <v>0</v>
      </c>
      <c r="J6" s="83">
        <f>INDEX(Eingabe!$1:$1048576,MATCH(J$4,Eingabe!$A:$A,0),3)</f>
        <v>0</v>
      </c>
      <c r="L6" s="83">
        <f>INDEX(Eingabe!$1:$1048576,MATCH(L$4,Eingabe!$A:$A,0),3)</f>
        <v>0</v>
      </c>
      <c r="M6" s="83">
        <f>INDEX(Eingabe!$1:$1048576,MATCH(M$4,Eingabe!$A:$A,0),3)</f>
        <v>0</v>
      </c>
    </row>
    <row r="7" spans="1:15" s="83" customFormat="1">
      <c r="A7" s="226" t="s">
        <v>4</v>
      </c>
      <c r="B7" s="226"/>
      <c r="C7" s="88">
        <f>IF(Eingabe!$E$47=TRUE,C5*0.5*1000,C5*1000)</f>
        <v>0</v>
      </c>
      <c r="D7" s="88">
        <f>D5*1000</f>
        <v>0</v>
      </c>
      <c r="E7" s="88">
        <f>IF(Eingabe!$E$47=TRUE,E5*Ergebnis!$I$24*1000,E5*1000)</f>
        <v>0</v>
      </c>
      <c r="F7" s="88">
        <f>IF(Eingabe!$E$47=TRUE,IF(F5&gt;0,F5*0.97003745*Ergebnis!$I$24*1000,F6*0.75730994*Ergebnis!$I$24*1000),IF(F5&gt;0,F5*0.97003745*1000,F6*0.75730994*1000))</f>
        <v>0</v>
      </c>
      <c r="G7" s="88">
        <f>IF(Eingabe!$E$47=TRUE,IF(G5&gt;0,G5*0.7733333*Ergebnis!$I$24*1000,G6*0.16959064*Ergebnis!$I$24*1000),IF(G5&gt;0,G5*0.7733333*1000,G6*0.16959064*1000))</f>
        <v>0</v>
      </c>
      <c r="H7" s="88">
        <f>IF(Eingabe!$E$47=TRUE,H5*Ergebnis!$I$24*1000,H5*1000)</f>
        <v>0</v>
      </c>
      <c r="I7" s="88">
        <f>IF(Eingabe!$E$47=TRUE,IF(I5&gt;0,I5*0.91428571*Ergebnis!$I$24*1000,I6*0.02044728*Ergebnis!$I$24*1000),IF(I5&gt;0,I5*0.91428571*1000,I6*0.02044728*1000))</f>
        <v>0</v>
      </c>
      <c r="J7" s="88">
        <f>IF(Eingabe!$E$47=TRUE,IF(J5&gt;0,J5*Ergebnis!$I$24*1000,J6*0.97763578*Ergebnis!$I$24*1000),IF(J5&gt;0,J5*1000,J6*0.97763578*1000))</f>
        <v>0</v>
      </c>
      <c r="K7" s="88">
        <f>IF(Eingabe!$E$47=TRUE,K5*0.000954*Eingabe!$C$12*Ergebnis!$I$24*1000,K5*0.000954*Eingabe!$C$12*1000)</f>
        <v>0</v>
      </c>
      <c r="L7" s="88">
        <f>IF(Eingabe!$E$47=TRUE,L5*0.0010336*Eingabe!$C$12*Ergebnis!$I$24*1000+L6*0.0000256*Eingabe!$C$12*Ergebnis!$I$24*1000,L5*0.0010336*Eingabe!$C$12*1000+L6*0.0000256*Eingabe!$C$12*1000)</f>
        <v>0</v>
      </c>
      <c r="M7" s="88">
        <f>IF(Eingabe!$E$47=TRUE,M5*0.0002176*Eingabe!$C$12*Ergebnis!$I$24*1000+M6*0.0002176*Eingabe!$C$12*Ergebnis!$I$24*1000,M5*0.0002176*Eingabe!$C$12*1000+M6*0.0002176*Eingabe!$C$12*1000)</f>
        <v>0</v>
      </c>
    </row>
    <row r="8" spans="1:15" s="83" customFormat="1" ht="45" customHeight="1">
      <c r="A8" s="227" t="s">
        <v>171</v>
      </c>
      <c r="B8" s="227"/>
      <c r="C8" s="102">
        <f>-C$7*C$39</f>
        <v>0</v>
      </c>
      <c r="D8" s="102">
        <f>-D$7*D$39</f>
        <v>0</v>
      </c>
      <c r="E8" s="102">
        <f>-E$7*L$39</f>
        <v>0</v>
      </c>
      <c r="F8" s="102">
        <f>-F$7*G$39</f>
        <v>0</v>
      </c>
      <c r="G8" s="102">
        <f>-G$7*H$39</f>
        <v>0</v>
      </c>
      <c r="H8" s="102">
        <f>-H$7*I$39</f>
        <v>0</v>
      </c>
      <c r="I8" s="102">
        <f>-I$7*J$39</f>
        <v>0</v>
      </c>
      <c r="J8" s="102">
        <f>-J$7*F$39</f>
        <v>0</v>
      </c>
      <c r="K8" s="102">
        <f>-K$7*K$39</f>
        <v>0</v>
      </c>
      <c r="L8" s="102">
        <f>-L$7*M$39</f>
        <v>0</v>
      </c>
      <c r="M8" s="102">
        <f>-M$7*E$39</f>
        <v>0</v>
      </c>
    </row>
    <row r="9" spans="1:15" s="83" customFormat="1"/>
    <row r="10" spans="1:15" s="83" customFormat="1"/>
    <row r="11" spans="1:15" s="83" customFormat="1"/>
    <row r="12" spans="1:15" s="83" customFormat="1"/>
    <row r="13" spans="1:15" s="83" customFormat="1"/>
    <row r="14" spans="1:15">
      <c r="A14" s="79"/>
      <c r="B14" s="83"/>
      <c r="E14" s="101"/>
    </row>
    <row r="15" spans="1:15" hidden="1" outlineLevel="1">
      <c r="A15" s="80" t="s">
        <v>28</v>
      </c>
      <c r="B15" s="80" t="s">
        <v>67</v>
      </c>
    </row>
    <row r="16" spans="1:15" hidden="1" outlineLevel="1">
      <c r="A16" s="80" t="s">
        <v>29</v>
      </c>
      <c r="B16" s="80" t="s">
        <v>68</v>
      </c>
    </row>
    <row r="17" spans="1:2" hidden="1" outlineLevel="1">
      <c r="A17" s="80" t="s">
        <v>30</v>
      </c>
      <c r="B17" s="80" t="s">
        <v>244</v>
      </c>
    </row>
    <row r="18" spans="1:2" hidden="1" outlineLevel="1">
      <c r="A18" s="80" t="s">
        <v>31</v>
      </c>
      <c r="B18" s="80" t="s">
        <v>272</v>
      </c>
    </row>
    <row r="19" spans="1:2" hidden="1" outlineLevel="1">
      <c r="A19" s="80" t="s">
        <v>32</v>
      </c>
      <c r="B19" s="80" t="s">
        <v>245</v>
      </c>
    </row>
    <row r="20" spans="1:2" hidden="1" outlineLevel="1">
      <c r="A20" s="80" t="s">
        <v>33</v>
      </c>
      <c r="B20" s="80" t="s">
        <v>246</v>
      </c>
    </row>
    <row r="21" spans="1:2" hidden="1" outlineLevel="1">
      <c r="A21" s="80" t="s">
        <v>34</v>
      </c>
      <c r="B21" s="80" t="s">
        <v>247</v>
      </c>
    </row>
    <row r="22" spans="1:2" hidden="1" outlineLevel="1">
      <c r="A22" s="80" t="s">
        <v>35</v>
      </c>
      <c r="B22" s="80" t="s">
        <v>248</v>
      </c>
    </row>
    <row r="23" spans="1:2" hidden="1" outlineLevel="1">
      <c r="A23" s="80" t="s">
        <v>36</v>
      </c>
      <c r="B23" s="80" t="s">
        <v>249</v>
      </c>
    </row>
    <row r="24" spans="1:2" hidden="1" outlineLevel="1">
      <c r="A24" s="80" t="s">
        <v>37</v>
      </c>
      <c r="B24" s="80" t="s">
        <v>250</v>
      </c>
    </row>
    <row r="25" spans="1:2" hidden="1" outlineLevel="1">
      <c r="A25" s="80" t="s">
        <v>38</v>
      </c>
      <c r="B25" s="80" t="s">
        <v>251</v>
      </c>
    </row>
    <row r="26" spans="1:2" hidden="1" outlineLevel="1">
      <c r="A26" s="80" t="s">
        <v>39</v>
      </c>
      <c r="B26" s="80" t="s">
        <v>252</v>
      </c>
    </row>
    <row r="27" spans="1:2" hidden="1" outlineLevel="1">
      <c r="A27" s="80" t="s">
        <v>45</v>
      </c>
      <c r="B27" s="80" t="s">
        <v>253</v>
      </c>
    </row>
    <row r="28" spans="1:2" hidden="1" outlineLevel="1">
      <c r="A28" s="80" t="s">
        <v>80</v>
      </c>
      <c r="B28" s="80" t="s">
        <v>40</v>
      </c>
    </row>
    <row r="29" spans="1:2" hidden="1" outlineLevel="1">
      <c r="A29" s="80" t="s">
        <v>81</v>
      </c>
      <c r="B29" s="80" t="s">
        <v>82</v>
      </c>
    </row>
    <row r="30" spans="1:2" hidden="1" outlineLevel="1">
      <c r="A30" s="80" t="s">
        <v>41</v>
      </c>
      <c r="B30" s="80" t="s">
        <v>83</v>
      </c>
    </row>
    <row r="31" spans="1:2" hidden="1" outlineLevel="1">
      <c r="A31" s="80" t="s">
        <v>84</v>
      </c>
      <c r="B31" s="80" t="s">
        <v>85</v>
      </c>
    </row>
    <row r="32" spans="1:2" hidden="1" outlineLevel="1">
      <c r="A32" s="80" t="s">
        <v>86</v>
      </c>
      <c r="B32" s="80" t="s">
        <v>87</v>
      </c>
    </row>
    <row r="33" spans="1:13" hidden="1" outlineLevel="1">
      <c r="A33" s="80" t="s">
        <v>88</v>
      </c>
      <c r="B33" s="80" t="s">
        <v>85</v>
      </c>
    </row>
    <row r="34" spans="1:13" hidden="1" outlineLevel="1">
      <c r="A34" s="80" t="s">
        <v>42</v>
      </c>
      <c r="B34" s="80" t="s">
        <v>87</v>
      </c>
    </row>
    <row r="35" spans="1:13" hidden="1" outlineLevel="1">
      <c r="A35" s="80" t="s">
        <v>43</v>
      </c>
      <c r="B35" s="80" t="s">
        <v>89</v>
      </c>
    </row>
    <row r="36" spans="1:13" hidden="1" outlineLevel="1">
      <c r="A36" s="80" t="s">
        <v>44</v>
      </c>
      <c r="B36" s="80" t="s">
        <v>90</v>
      </c>
    </row>
    <row r="37" spans="1:13" s="96" customFormat="1" collapsed="1"/>
    <row r="38" spans="1:13" s="83" customFormat="1">
      <c r="A38" s="97" t="s">
        <v>89</v>
      </c>
      <c r="B38" s="97" t="s">
        <v>91</v>
      </c>
      <c r="C38" s="97" t="s">
        <v>254</v>
      </c>
      <c r="D38" s="97" t="s">
        <v>255</v>
      </c>
      <c r="E38" s="97" t="s">
        <v>256</v>
      </c>
      <c r="F38" s="97" t="s">
        <v>257</v>
      </c>
      <c r="G38" s="97" t="s">
        <v>258</v>
      </c>
      <c r="H38" s="97" t="s">
        <v>259</v>
      </c>
      <c r="I38" s="97" t="s">
        <v>260</v>
      </c>
      <c r="J38" s="97" t="s">
        <v>261</v>
      </c>
      <c r="K38" s="97" t="s">
        <v>262</v>
      </c>
      <c r="L38" s="97" t="s">
        <v>263</v>
      </c>
      <c r="M38" s="83" t="s">
        <v>264</v>
      </c>
    </row>
    <row r="39" spans="1:13">
      <c r="A39" s="98" t="s">
        <v>0</v>
      </c>
      <c r="B39" s="98" t="s">
        <v>1</v>
      </c>
      <c r="C39" s="98">
        <v>-7.8611529999999992E-3</v>
      </c>
      <c r="D39" s="98">
        <v>-4.5013858000000004E-3</v>
      </c>
      <c r="E39" s="98">
        <v>-4.3164661999999999E-2</v>
      </c>
      <c r="F39" s="98">
        <v>-3.8302745999999999E-2</v>
      </c>
      <c r="G39" s="98">
        <v>-0.22207225</v>
      </c>
      <c r="H39" s="98">
        <v>-0.53668139999999998</v>
      </c>
      <c r="I39" s="98">
        <v>-675.22329999999999</v>
      </c>
      <c r="J39" s="98">
        <v>-0.24868541</v>
      </c>
      <c r="K39" s="98">
        <v>-0.24039556000000001</v>
      </c>
      <c r="L39" s="98">
        <v>-1.1641187E-3</v>
      </c>
      <c r="M39" s="80">
        <v>-3.9830676000000002E-2</v>
      </c>
    </row>
    <row r="40" spans="1:13">
      <c r="A40" s="98" t="s">
        <v>19</v>
      </c>
      <c r="B40" s="98" t="s">
        <v>1</v>
      </c>
      <c r="C40" s="98">
        <v>-1.4366909999999999E-3</v>
      </c>
      <c r="D40" s="98">
        <v>-8.1807706000000004E-4</v>
      </c>
      <c r="E40" s="98">
        <v>-9.5159839000000003E-3</v>
      </c>
      <c r="F40" s="98">
        <v>-3.3138857000000001E-2</v>
      </c>
      <c r="G40" s="98">
        <v>-0.15072932</v>
      </c>
      <c r="H40" s="98">
        <v>-0.30762673000000001</v>
      </c>
      <c r="I40" s="98">
        <v>-426.20587999999998</v>
      </c>
      <c r="J40" s="98">
        <v>-0.13478146999999999</v>
      </c>
      <c r="K40" s="98">
        <v>-6.8111532000000002E-2</v>
      </c>
      <c r="L40" s="98">
        <v>-4.997418E-4</v>
      </c>
      <c r="M40" s="80">
        <v>-1.4576034999999999E-2</v>
      </c>
    </row>
    <row r="41" spans="1:13">
      <c r="A41" s="98" t="s">
        <v>20</v>
      </c>
      <c r="B41" s="98" t="s">
        <v>1</v>
      </c>
      <c r="C41" s="98">
        <v>-5.1388599999999998E-5</v>
      </c>
      <c r="D41" s="98">
        <v>-3.1099890999999999E-5</v>
      </c>
      <c r="E41" s="98">
        <v>-3.0358536E-3</v>
      </c>
      <c r="F41" s="98">
        <v>-9.9373019000000007E-4</v>
      </c>
      <c r="G41" s="98">
        <v>3.1454539000000002E-3</v>
      </c>
      <c r="H41" s="98">
        <v>-8.1644964E-2</v>
      </c>
      <c r="I41" s="98">
        <v>-76.825582999999995</v>
      </c>
      <c r="J41" s="98">
        <v>-7.0952605000000002E-2</v>
      </c>
      <c r="K41" s="98">
        <v>-0.12017113</v>
      </c>
      <c r="L41" s="98">
        <v>1.7896617E-6</v>
      </c>
      <c r="M41" s="80">
        <v>-4.6501193E-3</v>
      </c>
    </row>
    <row r="42" spans="1:13">
      <c r="A42" s="98" t="s">
        <v>21</v>
      </c>
      <c r="B42" s="98" t="s">
        <v>1</v>
      </c>
      <c r="C42" s="98">
        <v>-6.3730734999999997E-3</v>
      </c>
      <c r="D42" s="98">
        <v>-3.6522089E-3</v>
      </c>
      <c r="E42" s="98">
        <v>-3.0612824E-2</v>
      </c>
      <c r="F42" s="98">
        <v>-4.1701589999999997E-3</v>
      </c>
      <c r="G42" s="98">
        <v>-7.4488378999999993E-2</v>
      </c>
      <c r="H42" s="98">
        <v>-0.1474097</v>
      </c>
      <c r="I42" s="98">
        <v>-172.19184000000001</v>
      </c>
      <c r="J42" s="98">
        <v>-4.2951331000000002E-2</v>
      </c>
      <c r="K42" s="98">
        <v>-5.2112902000000003E-2</v>
      </c>
      <c r="L42" s="98">
        <v>-6.6616652000000003E-4</v>
      </c>
      <c r="M42" s="80">
        <v>-2.0604522E-2</v>
      </c>
    </row>
    <row r="46" spans="1:13" s="88" customFormat="1">
      <c r="A46" s="88" t="s">
        <v>402</v>
      </c>
    </row>
    <row r="47" spans="1:13">
      <c r="A47" s="80" t="s">
        <v>407</v>
      </c>
    </row>
    <row r="48" spans="1:13">
      <c r="A48" s="80" t="s">
        <v>409</v>
      </c>
      <c r="B48" s="80" t="s">
        <v>408</v>
      </c>
    </row>
    <row r="50" spans="1:4">
      <c r="A50" s="80" t="s">
        <v>415</v>
      </c>
      <c r="C50" s="80">
        <v>3.6</v>
      </c>
    </row>
    <row r="51" spans="1:4">
      <c r="A51" s="80" t="s">
        <v>426</v>
      </c>
      <c r="C51" s="80">
        <f>1/1000</f>
        <v>1E-3</v>
      </c>
    </row>
    <row r="52" spans="1:4">
      <c r="A52" s="80" t="s">
        <v>428</v>
      </c>
      <c r="C52" s="80">
        <v>1000</v>
      </c>
    </row>
    <row r="54" spans="1:4">
      <c r="A54" s="80" t="s">
        <v>420</v>
      </c>
      <c r="B54" s="80" t="s">
        <v>421</v>
      </c>
      <c r="C54" s="80">
        <v>37.799999999999997</v>
      </c>
    </row>
    <row r="55" spans="1:4">
      <c r="A55" s="80" t="s">
        <v>422</v>
      </c>
      <c r="B55" s="80" t="s">
        <v>423</v>
      </c>
      <c r="C55" s="80">
        <v>0.86</v>
      </c>
    </row>
    <row r="56" spans="1:4">
      <c r="A56" s="80" t="s">
        <v>424</v>
      </c>
      <c r="B56" s="80" t="s">
        <v>425</v>
      </c>
      <c r="C56" s="80">
        <v>42.6</v>
      </c>
    </row>
    <row r="57" spans="1:4">
      <c r="A57" s="80" t="s">
        <v>438</v>
      </c>
      <c r="B57" s="80" t="s">
        <v>423</v>
      </c>
      <c r="C57" s="80">
        <v>0.51</v>
      </c>
      <c r="D57" s="80" t="s">
        <v>440</v>
      </c>
    </row>
    <row r="58" spans="1:4">
      <c r="A58" s="80" t="s">
        <v>437</v>
      </c>
      <c r="B58" s="80" t="s">
        <v>425</v>
      </c>
      <c r="C58" s="80">
        <v>46.3</v>
      </c>
      <c r="D58" s="80" t="s">
        <v>439</v>
      </c>
    </row>
    <row r="60" spans="1:4">
      <c r="A60" s="80" t="s">
        <v>411</v>
      </c>
      <c r="C60" s="80">
        <v>2.6</v>
      </c>
    </row>
    <row r="61" spans="1:4">
      <c r="A61" s="80" t="s">
        <v>412</v>
      </c>
      <c r="C61" s="80">
        <v>1.1000000000000001</v>
      </c>
    </row>
    <row r="63" spans="1:4">
      <c r="A63" s="80" t="s">
        <v>410</v>
      </c>
      <c r="B63" s="80" t="s">
        <v>416</v>
      </c>
      <c r="C63" s="80">
        <f>Eingabe!C47*Prüfwert!C50*Prüfwert!C60</f>
        <v>0</v>
      </c>
    </row>
    <row r="64" spans="1:4">
      <c r="A64" s="80" t="s">
        <v>413</v>
      </c>
      <c r="B64" s="80" t="s">
        <v>416</v>
      </c>
      <c r="C64" s="80">
        <f>Eingabe!C48*Prüfwert!C50*Prüfwert!C61</f>
        <v>0</v>
      </c>
    </row>
    <row r="65" spans="1:4">
      <c r="A65" s="80" t="s">
        <v>414</v>
      </c>
      <c r="B65" s="80" t="s">
        <v>416</v>
      </c>
      <c r="C65" s="80">
        <f>C63+C64</f>
        <v>0</v>
      </c>
    </row>
    <row r="67" spans="1:4">
      <c r="A67" s="80" t="s">
        <v>417</v>
      </c>
      <c r="B67" s="80" t="s">
        <v>416</v>
      </c>
      <c r="C67" s="80">
        <f>Eingabe!C36*Prüfwert!C54*Prüfwert!C51</f>
        <v>0</v>
      </c>
    </row>
    <row r="68" spans="1:4">
      <c r="A68" s="80" t="s">
        <v>418</v>
      </c>
      <c r="B68" s="80" t="s">
        <v>416</v>
      </c>
      <c r="C68" s="80">
        <f>Eingabe!C37*Prüfwert!C55*Prüfwert!C56*Prüfwert!C51</f>
        <v>0</v>
      </c>
    </row>
    <row r="69" spans="1:4">
      <c r="A69" s="80" t="s">
        <v>435</v>
      </c>
      <c r="B69" s="80" t="s">
        <v>416</v>
      </c>
      <c r="C69" s="80">
        <f>Eingabe!C35*Prüfwert!C58*Prüfwert!C51</f>
        <v>0</v>
      </c>
    </row>
    <row r="70" spans="1:4">
      <c r="A70" s="80" t="s">
        <v>419</v>
      </c>
      <c r="B70" s="80" t="s">
        <v>416</v>
      </c>
      <c r="C70" s="80">
        <f>C67+C68+C69</f>
        <v>0</v>
      </c>
    </row>
    <row r="72" spans="1:4">
      <c r="A72" s="80" t="s">
        <v>432</v>
      </c>
      <c r="B72" s="80" t="s">
        <v>416</v>
      </c>
      <c r="C72" s="80">
        <f>Eingabe!C12*Prüfwert!C52*Eingabe!C15*Prüfwert!C51</f>
        <v>0</v>
      </c>
    </row>
    <row r="74" spans="1:4">
      <c r="A74" s="80" t="s">
        <v>433</v>
      </c>
      <c r="B74" s="80" t="s">
        <v>416</v>
      </c>
      <c r="C74" s="80">
        <f>Eingabe!C34*Prüfwert!C50</f>
        <v>0</v>
      </c>
      <c r="D74" s="80" t="s">
        <v>436</v>
      </c>
    </row>
    <row r="76" spans="1:4">
      <c r="A76" s="80" t="s">
        <v>434</v>
      </c>
      <c r="C76" s="80">
        <v>0.97</v>
      </c>
    </row>
    <row r="77" spans="1:4">
      <c r="A77" s="80" t="s">
        <v>429</v>
      </c>
      <c r="C77" s="80" t="e">
        <f>(C65-(C70+C74))/(C76*(C72+C70))</f>
        <v>#DIV/0!</v>
      </c>
    </row>
  </sheetData>
  <mergeCells count="2">
    <mergeCell ref="A7:B7"/>
    <mergeCell ref="A8:B8"/>
  </mergeCells>
  <phoneticPr fontId="0" type="noConversion"/>
  <printOptions headings="1"/>
  <pageMargins left="0.78740157499999996" right="0.78740157499999996" top="0.984251969" bottom="0.984251969" header="0.4921259845" footer="0.4921259845"/>
  <pageSetup paperSize="9" scale="66" orientation="landscape"/>
  <headerFooter alignWithMargins="0"/>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73"/>
  <sheetViews>
    <sheetView showGridLines="0" zoomScale="70" zoomScaleNormal="70" zoomScalePageLayoutView="90" workbookViewId="0"/>
  </sheetViews>
  <sheetFormatPr baseColWidth="10" defaultColWidth="10.86328125" defaultRowHeight="13.5" outlineLevelCol="1"/>
  <cols>
    <col min="1" max="1" width="42.6640625" style="80" customWidth="1" outlineLevel="1"/>
    <col min="2" max="2" width="21.1328125" style="80" customWidth="1" outlineLevel="1"/>
    <col min="3" max="3" width="19.46484375" style="80" customWidth="1" outlineLevel="1"/>
    <col min="4" max="4" width="18.33203125" style="80" customWidth="1" outlineLevel="1"/>
    <col min="5" max="5" width="15.46484375" style="80" customWidth="1" outlineLevel="1"/>
    <col min="6" max="6" width="60.46484375" style="80" customWidth="1"/>
    <col min="7" max="7" width="19.6640625" style="80" customWidth="1"/>
    <col min="8" max="8" width="18.46484375" style="80" customWidth="1"/>
    <col min="9" max="9" width="11.46484375" style="80" hidden="1" customWidth="1" outlineLevel="1"/>
    <col min="10" max="10" width="10.86328125" style="80" collapsed="1"/>
    <col min="11" max="16384" width="10.86328125" style="80"/>
  </cols>
  <sheetData>
    <row r="1" spans="1:9" ht="14.25" customHeight="1">
      <c r="F1" s="223">
        <f>G11</f>
        <v>0</v>
      </c>
      <c r="G1" s="223">
        <f>H11</f>
        <v>0</v>
      </c>
      <c r="H1" s="140"/>
    </row>
    <row r="2" spans="1:9" ht="14.25" customHeight="1">
      <c r="F2" s="223"/>
      <c r="G2" s="223"/>
      <c r="H2" s="140"/>
    </row>
    <row r="3" spans="1:9" ht="40.5">
      <c r="A3" s="103"/>
      <c r="B3" s="104" t="s">
        <v>355</v>
      </c>
      <c r="C3" s="104" t="s">
        <v>353</v>
      </c>
      <c r="D3" s="104" t="s">
        <v>172</v>
      </c>
      <c r="E3" s="104"/>
      <c r="F3" s="148"/>
      <c r="G3" s="142" t="s">
        <v>356</v>
      </c>
      <c r="H3" s="143" t="s">
        <v>172</v>
      </c>
    </row>
    <row r="4" spans="1:9" ht="15" customHeight="1">
      <c r="A4" s="39" t="str">
        <f>Umweltdeklaration!$B5</f>
        <v>KVA (inkl. direkte Emissionen)</v>
      </c>
      <c r="B4" s="136" t="e">
        <f>Umweltdeklaration!H5/$G$18</f>
        <v>#DIV/0!</v>
      </c>
      <c r="C4" s="136"/>
      <c r="D4" s="136"/>
      <c r="E4" s="105"/>
      <c r="F4" s="140" t="s">
        <v>171</v>
      </c>
      <c r="G4" s="144" t="e">
        <f>B27</f>
        <v>#DIV/0!</v>
      </c>
      <c r="H4" s="144" t="e">
        <f>D27</f>
        <v>#DIV/0!</v>
      </c>
    </row>
    <row r="5" spans="1:9" ht="14.25" customHeight="1">
      <c r="A5" s="39" t="str">
        <f>Umweltdeklaration!$B6</f>
        <v>Hilfsstoffe + importierte Energieträger</v>
      </c>
      <c r="B5" s="136" t="e">
        <f>Umweltdeklaration!H6/$G$18</f>
        <v>#DIV/0!</v>
      </c>
      <c r="C5" s="136"/>
      <c r="D5" s="136"/>
      <c r="E5" s="105"/>
      <c r="F5" s="224" t="e">
        <f>IF(G5&lt;=1,I6,I7)</f>
        <v>#DIV/0!</v>
      </c>
      <c r="G5" s="222" t="e">
        <f>G4/H4</f>
        <v>#DIV/0!</v>
      </c>
      <c r="H5" s="222"/>
    </row>
    <row r="6" spans="1:9" ht="15" customHeight="1" thickBot="1">
      <c r="A6" s="39" t="str">
        <f>Umweltdeklaration!$B7</f>
        <v>Behandlung Flugasche (inkl. Deponie)</v>
      </c>
      <c r="B6" s="136" t="e">
        <f>Umweltdeklaration!H7/$G$18</f>
        <v>#DIV/0!</v>
      </c>
      <c r="C6" s="136"/>
      <c r="D6" s="136"/>
      <c r="E6" s="105"/>
      <c r="F6" s="225"/>
      <c r="G6" s="222"/>
      <c r="H6" s="222"/>
      <c r="I6" s="80" t="s">
        <v>400</v>
      </c>
    </row>
    <row r="7" spans="1:9" ht="13.9" thickTop="1">
      <c r="A7" s="39" t="str">
        <f>Umweltdeklaration!$B8</f>
        <v>Deponierung Bodenasche</v>
      </c>
      <c r="B7" s="136" t="e">
        <f>Umweltdeklaration!H8/$G$18</f>
        <v>#DIV/0!</v>
      </c>
      <c r="C7" s="136"/>
      <c r="D7" s="149"/>
      <c r="E7" s="39"/>
      <c r="I7" s="80" t="s">
        <v>401</v>
      </c>
    </row>
    <row r="8" spans="1:9" ht="27.75">
      <c r="A8" s="39"/>
      <c r="B8" s="136"/>
      <c r="C8" s="136"/>
      <c r="D8" s="149"/>
      <c r="E8" s="39"/>
      <c r="F8" s="171" t="s">
        <v>404</v>
      </c>
      <c r="G8" s="142" t="s">
        <v>403</v>
      </c>
      <c r="H8" s="143" t="s">
        <v>172</v>
      </c>
    </row>
    <row r="9" spans="1:9" ht="14.25" thickBot="1">
      <c r="A9" s="39"/>
      <c r="B9" s="136"/>
      <c r="C9" s="136"/>
      <c r="D9" s="149"/>
      <c r="E9" s="39"/>
      <c r="F9" s="174" t="e">
        <f>IF(G9&gt;100%,I11,IF(G9&gt;=H9,I9,I10))</f>
        <v>#DIV/0!</v>
      </c>
      <c r="G9" s="173" t="e">
        <f>Prüfwert!C77</f>
        <v>#DIV/0!</v>
      </c>
      <c r="H9" s="170">
        <v>0.65</v>
      </c>
      <c r="I9" s="80" t="s">
        <v>405</v>
      </c>
    </row>
    <row r="10" spans="1:9" ht="13.9" thickTop="1">
      <c r="A10" s="39"/>
      <c r="B10" s="136"/>
      <c r="C10" s="136"/>
      <c r="D10" s="149"/>
      <c r="E10" s="39"/>
      <c r="I10" s="80" t="s">
        <v>406</v>
      </c>
    </row>
    <row r="11" spans="1:9" ht="20.25" customHeight="1">
      <c r="A11" s="39" t="str">
        <f>Umweltdeklaration!$B9</f>
        <v>Deponierung Gewebefilterrückstände</v>
      </c>
      <c r="B11" s="136" t="e">
        <f>Umweltdeklaration!H9/$G$18</f>
        <v>#DIV/0!</v>
      </c>
      <c r="C11" s="136"/>
      <c r="D11" s="136"/>
      <c r="E11" s="105"/>
      <c r="F11" s="139" t="s">
        <v>279</v>
      </c>
      <c r="G11" s="138">
        <f>Eingabe!C4</f>
        <v>0</v>
      </c>
      <c r="H11" s="138">
        <f>Eingabe!C5</f>
        <v>0</v>
      </c>
      <c r="I11" s="80" t="s">
        <v>441</v>
      </c>
    </row>
    <row r="12" spans="1:9" ht="17.649999999999999">
      <c r="A12" s="39" t="str">
        <f>Umweltdeklaration!$B14</f>
        <v>Strom</v>
      </c>
      <c r="B12" s="136"/>
      <c r="C12" s="136" t="e">
        <f>D12*$B$27/$D$27</f>
        <v>#DIV/0!</v>
      </c>
      <c r="D12" s="136" t="e">
        <f>Umweltdeklaration!$D14/$G$18</f>
        <v>#DIV/0!</v>
      </c>
      <c r="E12" s="105"/>
      <c r="F12" s="137"/>
      <c r="G12" s="137"/>
      <c r="H12" s="137"/>
    </row>
    <row r="13" spans="1:9" ht="13.9">
      <c r="A13" s="39" t="str">
        <f>Umweltdeklaration!$B15</f>
        <v>Wärme</v>
      </c>
      <c r="B13" s="136"/>
      <c r="C13" s="136" t="e">
        <f t="shared" ref="C13:C26" si="0">D13*$B$27/$D$27</f>
        <v>#DIV/0!</v>
      </c>
      <c r="D13" s="136" t="e">
        <f>Umweltdeklaration!$D15/$G$18</f>
        <v>#DIV/0!</v>
      </c>
      <c r="E13" s="105"/>
      <c r="F13" s="115" t="s">
        <v>154</v>
      </c>
      <c r="G13" s="116"/>
      <c r="H13" s="116"/>
      <c r="I13" s="80" t="s">
        <v>149</v>
      </c>
    </row>
    <row r="14" spans="1:9">
      <c r="A14" s="39" t="str">
        <f>Umweltdeklaration!$B16</f>
        <v>Entsorgungsfunktion</v>
      </c>
      <c r="B14" s="136"/>
      <c r="C14" s="136" t="e">
        <f t="shared" si="0"/>
        <v>#DIV/0!</v>
      </c>
      <c r="D14" s="136" t="e">
        <f>Umweltdeklaration!$D16/$G$18</f>
        <v>#DIV/0!</v>
      </c>
      <c r="E14" s="105"/>
      <c r="F14" s="117" t="s">
        <v>148</v>
      </c>
      <c r="G14" s="118" t="str">
        <f>IF(Anlagentyp=1,I13,I14)</f>
        <v>nass</v>
      </c>
      <c r="H14" s="116"/>
      <c r="I14" s="80" t="s">
        <v>150</v>
      </c>
    </row>
    <row r="15" spans="1:9">
      <c r="A15" s="39" t="str">
        <f>Umweltdeklaration!$B17</f>
        <v>Sekundäraluminium, kg</v>
      </c>
      <c r="B15" s="136"/>
      <c r="C15" s="136" t="e">
        <f t="shared" si="0"/>
        <v>#DIV/0!</v>
      </c>
      <c r="D15" s="136" t="e">
        <f>Umweltdeklaration!$D17/$G$18</f>
        <v>#DIV/0!</v>
      </c>
      <c r="E15" s="105"/>
      <c r="F15" s="117" t="s">
        <v>151</v>
      </c>
      <c r="G15" s="118" t="str">
        <f>IF(Eingabe!E9=1,I15,IF(Eingabe!E9=2,I16,I17))</f>
        <v>SCR high dust</v>
      </c>
      <c r="H15" s="120"/>
      <c r="I15" s="80" t="s">
        <v>152</v>
      </c>
    </row>
    <row r="16" spans="1:9">
      <c r="A16" s="39" t="str">
        <f>Umweltdeklaration!$B18</f>
        <v>Sekundärkupfer, kg</v>
      </c>
      <c r="B16" s="149"/>
      <c r="C16" s="136" t="e">
        <f t="shared" si="0"/>
        <v>#DIV/0!</v>
      </c>
      <c r="D16" s="136" t="e">
        <f>Umweltdeklaration!$D18/$G$18</f>
        <v>#DIV/0!</v>
      </c>
      <c r="E16" s="105"/>
      <c r="F16" s="117"/>
      <c r="G16" s="118"/>
      <c r="H16" s="120"/>
      <c r="I16" s="80" t="s">
        <v>153</v>
      </c>
    </row>
    <row r="17" spans="1:10" ht="13.9">
      <c r="A17" s="39" t="str">
        <f>Umweltdeklaration!$B19</f>
        <v>Sekundär-Gold, kg</v>
      </c>
      <c r="B17" s="150"/>
      <c r="C17" s="136" t="e">
        <f t="shared" si="0"/>
        <v>#DIV/0!</v>
      </c>
      <c r="D17" s="136" t="e">
        <f>Umweltdeklaration!$D19/$G$18</f>
        <v>#DIV/0!</v>
      </c>
      <c r="E17" s="105"/>
      <c r="F17" s="115" t="s">
        <v>155</v>
      </c>
      <c r="G17" s="119" t="s">
        <v>146</v>
      </c>
      <c r="H17" s="120"/>
      <c r="I17" s="80" t="s">
        <v>292</v>
      </c>
    </row>
    <row r="18" spans="1:10">
      <c r="A18" s="39" t="str">
        <f>Umweltdeklaration!$B20</f>
        <v>Sekundär-Edelstahl, kg</v>
      </c>
      <c r="B18" s="150"/>
      <c r="C18" s="136" t="e">
        <f t="shared" si="0"/>
        <v>#DIV/0!</v>
      </c>
      <c r="D18" s="136" t="e">
        <f>Umweltdeklaration!$D20/$G$18</f>
        <v>#DIV/0!</v>
      </c>
      <c r="E18" s="105"/>
      <c r="F18" s="117" t="s">
        <v>138</v>
      </c>
      <c r="G18" s="121">
        <f>Ergebnis!G18</f>
        <v>0</v>
      </c>
      <c r="H18" s="120"/>
    </row>
    <row r="19" spans="1:10">
      <c r="A19" s="39"/>
      <c r="B19" s="150"/>
      <c r="C19" s="136"/>
      <c r="D19" s="136"/>
      <c r="E19" s="105"/>
      <c r="F19" s="117"/>
      <c r="G19" s="121"/>
      <c r="H19" s="120"/>
    </row>
    <row r="20" spans="1:10" ht="13.9">
      <c r="A20" s="39"/>
      <c r="B20" s="150"/>
      <c r="C20" s="136"/>
      <c r="D20" s="136"/>
      <c r="E20" s="105"/>
      <c r="F20" s="115" t="s">
        <v>398</v>
      </c>
      <c r="G20" s="119" t="s">
        <v>427</v>
      </c>
      <c r="H20" s="120"/>
    </row>
    <row r="21" spans="1:10">
      <c r="A21" s="39"/>
      <c r="B21" s="150"/>
      <c r="C21" s="136"/>
      <c r="D21" s="136"/>
      <c r="E21" s="105"/>
      <c r="F21" s="117" t="s">
        <v>399</v>
      </c>
      <c r="G21" s="172">
        <f>Eingabe!C15</f>
        <v>0</v>
      </c>
      <c r="H21" s="120"/>
    </row>
    <row r="22" spans="1:10">
      <c r="A22" s="39"/>
      <c r="B22" s="150"/>
      <c r="C22" s="136"/>
      <c r="D22" s="136"/>
      <c r="E22" s="105"/>
      <c r="F22" s="117"/>
      <c r="G22" s="121"/>
      <c r="H22" s="120"/>
    </row>
    <row r="23" spans="1:10" ht="27.75">
      <c r="A23" s="39" t="str">
        <f>Umweltdeklaration!$B21</f>
        <v>Eisenschrott, kg</v>
      </c>
      <c r="B23" s="150"/>
      <c r="C23" s="136" t="e">
        <f t="shared" si="0"/>
        <v>#DIV/0!</v>
      </c>
      <c r="D23" s="136" t="e">
        <f>Umweltdeklaration!$D21/$G$18</f>
        <v>#DIV/0!</v>
      </c>
      <c r="E23" s="105"/>
      <c r="F23" s="115" t="s">
        <v>341</v>
      </c>
      <c r="G23" s="119" t="s">
        <v>352</v>
      </c>
      <c r="H23" s="119" t="s">
        <v>348</v>
      </c>
    </row>
    <row r="24" spans="1:10">
      <c r="A24" s="111" t="str">
        <f>Umweltdeklaration!$B22</f>
        <v>Sekundärzink, kg</v>
      </c>
      <c r="B24" s="150"/>
      <c r="C24" s="136" t="e">
        <f t="shared" si="0"/>
        <v>#DIV/0!</v>
      </c>
      <c r="D24" s="136" t="e">
        <f>Umweltdeklaration!$D22/$G$18</f>
        <v>#DIV/0!</v>
      </c>
      <c r="E24" s="105"/>
      <c r="F24" s="117" t="s">
        <v>342</v>
      </c>
      <c r="G24" s="158" t="e">
        <f>Ergebnis!G24/Ergebnis!$G$18*1000</f>
        <v>#DIV/0!</v>
      </c>
      <c r="H24" s="161">
        <f>Eingabe!D18</f>
        <v>0</v>
      </c>
    </row>
    <row r="25" spans="1:10">
      <c r="A25" s="39" t="str">
        <f>Umweltdeklaration!$B23</f>
        <v>Sekundär-Zinkkonzentrat, kg</v>
      </c>
      <c r="B25" s="150"/>
      <c r="C25" s="136" t="e">
        <f t="shared" si="0"/>
        <v>#DIV/0!</v>
      </c>
      <c r="D25" s="136" t="e">
        <f>Umweltdeklaration!$D23/$G$18</f>
        <v>#DIV/0!</v>
      </c>
      <c r="E25" s="105"/>
      <c r="F25" s="117" t="s">
        <v>343</v>
      </c>
      <c r="G25" s="158" t="e">
        <f>Ergebnis!G25/Ergebnis!$G$18*1000</f>
        <v>#DIV/0!</v>
      </c>
      <c r="H25" s="161">
        <f>Eingabe!D19</f>
        <v>0</v>
      </c>
    </row>
    <row r="26" spans="1:10">
      <c r="A26" s="39" t="str">
        <f>Umweltdeklaration!$B24</f>
        <v>Sekundär-Bleikonzentrat, kg</v>
      </c>
      <c r="B26" s="150"/>
      <c r="C26" s="136" t="e">
        <f t="shared" si="0"/>
        <v>#DIV/0!</v>
      </c>
      <c r="D26" s="136" t="e">
        <f>Umweltdeklaration!$D24/$G$18</f>
        <v>#DIV/0!</v>
      </c>
      <c r="E26" s="105"/>
      <c r="F26" s="117"/>
      <c r="G26" s="121"/>
      <c r="H26" s="120"/>
    </row>
    <row r="27" spans="1:10" ht="13.9">
      <c r="A27" s="112" t="s">
        <v>209</v>
      </c>
      <c r="B27" s="150" t="e">
        <f>SUM(B4:B11)</f>
        <v>#DIV/0!</v>
      </c>
      <c r="C27" s="150" t="e">
        <f>SUM(C12:C26)</f>
        <v>#DIV/0!</v>
      </c>
      <c r="D27" s="150" t="e">
        <f>SUM(D12:D26)</f>
        <v>#DIV/0!</v>
      </c>
      <c r="E27" s="108"/>
      <c r="F27" s="115" t="s">
        <v>196</v>
      </c>
      <c r="G27" s="119" t="s">
        <v>349</v>
      </c>
      <c r="H27" s="119" t="s">
        <v>156</v>
      </c>
    </row>
    <row r="28" spans="1:10">
      <c r="F28" s="122" t="s">
        <v>157</v>
      </c>
      <c r="G28" s="157" t="e">
        <f>Ergebnis!G28/Ergebnis!$G$18*1000</f>
        <v>#DIV/0!</v>
      </c>
      <c r="H28" s="123">
        <f>Eingabe!D22</f>
        <v>0</v>
      </c>
    </row>
    <row r="29" spans="1:10">
      <c r="F29" s="122" t="s">
        <v>169</v>
      </c>
      <c r="G29" s="157" t="e">
        <f>Ergebnis!G29/Ergebnis!$G$18*1000</f>
        <v>#DIV/0!</v>
      </c>
      <c r="H29" s="123">
        <f>Eingabe!D23</f>
        <v>0</v>
      </c>
    </row>
    <row r="30" spans="1:10">
      <c r="F30" s="122" t="s">
        <v>161</v>
      </c>
      <c r="G30" s="157" t="e">
        <f>Ergebnis!G30/Ergebnis!$G$18*1000</f>
        <v>#DIV/0!</v>
      </c>
      <c r="H30" s="123">
        <f>Eingabe!D24</f>
        <v>0</v>
      </c>
    </row>
    <row r="31" spans="1:10">
      <c r="B31" s="109"/>
      <c r="C31" s="109"/>
      <c r="F31" s="122" t="s">
        <v>158</v>
      </c>
      <c r="G31" s="157" t="e">
        <f>Ergebnis!G31/Ergebnis!$G$18*1000</f>
        <v>#DIV/0!</v>
      </c>
      <c r="H31" s="123">
        <f>Eingabe!D25</f>
        <v>0</v>
      </c>
    </row>
    <row r="32" spans="1:10">
      <c r="F32" s="122" t="s">
        <v>159</v>
      </c>
      <c r="G32" s="157" t="e">
        <f>Ergebnis!G32/Ergebnis!$G$18*1000</f>
        <v>#DIV/0!</v>
      </c>
      <c r="H32" s="123">
        <f>Eingabe!D26</f>
        <v>0</v>
      </c>
      <c r="J32" s="113"/>
    </row>
    <row r="33" spans="1:10">
      <c r="F33" s="122" t="s">
        <v>294</v>
      </c>
      <c r="G33" s="157" t="e">
        <f>Ergebnis!G33/Ergebnis!$G$18*1000</f>
        <v>#DIV/0!</v>
      </c>
      <c r="H33" s="123"/>
    </row>
    <row r="34" spans="1:10">
      <c r="F34" s="122" t="s">
        <v>293</v>
      </c>
      <c r="G34" s="157" t="e">
        <f>Ergebnis!G34/Ergebnis!$G$18*1000</f>
        <v>#DIV/0!</v>
      </c>
      <c r="H34" s="116"/>
    </row>
    <row r="35" spans="1:10">
      <c r="F35" s="122" t="s">
        <v>295</v>
      </c>
      <c r="G35" s="157" t="e">
        <f>Ergebnis!G35/Ergebnis!$G$18*1000</f>
        <v>#DIV/0!</v>
      </c>
      <c r="H35" s="124"/>
    </row>
    <row r="36" spans="1:10">
      <c r="F36" s="122" t="s">
        <v>160</v>
      </c>
      <c r="G36" s="157" t="e">
        <f>Ergebnis!G36/Ergebnis!$G$18*1000</f>
        <v>#DIV/0!</v>
      </c>
      <c r="H36" s="124"/>
    </row>
    <row r="37" spans="1:10">
      <c r="A37" s="106"/>
      <c r="B37" s="107"/>
      <c r="C37" s="107"/>
      <c r="D37" s="106"/>
      <c r="E37" s="106"/>
      <c r="F37" s="122" t="s">
        <v>291</v>
      </c>
      <c r="G37" s="157" t="e">
        <f>Ergebnis!G37/Ergebnis!$G$18*1000</f>
        <v>#DIV/0!</v>
      </c>
      <c r="H37" s="123">
        <f>Eingabe!D31</f>
        <v>0</v>
      </c>
    </row>
    <row r="38" spans="1:10">
      <c r="B38" s="108"/>
      <c r="C38" s="108"/>
      <c r="D38" s="108"/>
      <c r="E38" s="108"/>
      <c r="F38" s="122" t="s">
        <v>191</v>
      </c>
      <c r="G38" s="157" t="e">
        <f>Ergebnis!G38/Ergebnis!$G$18*1000</f>
        <v>#DIV/0!</v>
      </c>
      <c r="H38" s="123">
        <f>Eingabe!D32</f>
        <v>0</v>
      </c>
    </row>
    <row r="39" spans="1:10">
      <c r="F39" s="122" t="s">
        <v>162</v>
      </c>
      <c r="G39" s="153" t="e">
        <f>Ergebnis!G39/Ergebnis!$G$18</f>
        <v>#DIV/0!</v>
      </c>
      <c r="H39" s="116"/>
    </row>
    <row r="40" spans="1:10">
      <c r="F40" s="122" t="s">
        <v>25</v>
      </c>
      <c r="G40" s="155" t="e">
        <f>Ergebnis!G40/Ergebnis!$G$18*1000</f>
        <v>#DIV/0!</v>
      </c>
      <c r="H40" s="116"/>
    </row>
    <row r="41" spans="1:10">
      <c r="F41" s="122" t="s">
        <v>281</v>
      </c>
      <c r="G41" s="175" t="e">
        <f>Ergebnis!G41/Ergebnis!$G$18*1000</f>
        <v>#DIV/0!</v>
      </c>
      <c r="H41" s="116"/>
    </row>
    <row r="42" spans="1:10">
      <c r="F42" s="122" t="s">
        <v>282</v>
      </c>
      <c r="G42" s="154" t="e">
        <f>Ergebnis!G42/Ergebnis!$G$18</f>
        <v>#DIV/0!</v>
      </c>
      <c r="H42" s="116"/>
    </row>
    <row r="43" spans="1:10">
      <c r="F43" s="122" t="s">
        <v>283</v>
      </c>
      <c r="G43" s="153" t="e">
        <f>Ergebnis!G43/Ergebnis!$G$18</f>
        <v>#DIV/0!</v>
      </c>
      <c r="H43" s="116"/>
    </row>
    <row r="44" spans="1:10">
      <c r="F44" s="122"/>
      <c r="G44" s="122"/>
      <c r="H44" s="116"/>
    </row>
    <row r="45" spans="1:10" ht="13.9">
      <c r="F45" s="115" t="s">
        <v>323</v>
      </c>
      <c r="G45" s="119" t="s">
        <v>350</v>
      </c>
      <c r="H45" s="119"/>
      <c r="J45" s="105"/>
    </row>
    <row r="46" spans="1:10">
      <c r="F46" s="126" t="s">
        <v>214</v>
      </c>
      <c r="G46" s="156" t="e">
        <f>Ergebnis!G46/Ergebnis!$G$18*1000</f>
        <v>#DIV/0!</v>
      </c>
      <c r="H46" s="127"/>
    </row>
    <row r="47" spans="1:10">
      <c r="F47" s="126" t="s">
        <v>211</v>
      </c>
      <c r="G47" s="156" t="e">
        <f>Ergebnis!G47/Ergebnis!$G$18*1000</f>
        <v>#DIV/0!</v>
      </c>
      <c r="H47" s="127"/>
    </row>
    <row r="48" spans="1:10">
      <c r="F48" s="126" t="s">
        <v>265</v>
      </c>
      <c r="G48" s="156" t="e">
        <f>Ergebnis!G48/Ergebnis!$G$18*1000</f>
        <v>#DIV/0!</v>
      </c>
      <c r="H48" s="127"/>
    </row>
    <row r="49" spans="6:9">
      <c r="F49" s="126" t="s">
        <v>212</v>
      </c>
      <c r="G49" s="156" t="e">
        <f>Ergebnis!G49/Ergebnis!$G$18*1000</f>
        <v>#DIV/0!</v>
      </c>
      <c r="H49" s="127"/>
    </row>
    <row r="50" spans="6:9">
      <c r="F50" s="126" t="s">
        <v>213</v>
      </c>
      <c r="G50" s="156" t="e">
        <f>Ergebnis!G50/Ergebnis!$G$18*1000</f>
        <v>#DIV/0!</v>
      </c>
      <c r="H50" s="127"/>
    </row>
    <row r="51" spans="6:9">
      <c r="F51" s="126"/>
      <c r="G51" s="126"/>
      <c r="H51" s="126"/>
    </row>
    <row r="52" spans="6:9" ht="13.9">
      <c r="F52" s="115" t="s">
        <v>139</v>
      </c>
      <c r="G52" s="128" t="s">
        <v>351</v>
      </c>
      <c r="H52" s="116"/>
    </row>
    <row r="53" spans="6:9">
      <c r="F53" s="126" t="s">
        <v>324</v>
      </c>
      <c r="G53" s="155" t="e">
        <f>Ergebnis!G53/Ergebnis!$G$18*1000</f>
        <v>#DIV/0!</v>
      </c>
      <c r="H53" s="129"/>
    </row>
    <row r="54" spans="6:9">
      <c r="F54" s="126" t="s">
        <v>290</v>
      </c>
      <c r="G54" s="155" t="e">
        <f>Ergebnis!G54/Ergebnis!$G$18*1000</f>
        <v>#DIV/0!</v>
      </c>
      <c r="H54" s="116"/>
    </row>
    <row r="55" spans="6:9">
      <c r="F55" s="126"/>
      <c r="G55" s="125"/>
      <c r="H55" s="116"/>
    </row>
    <row r="56" spans="6:9" ht="13.9">
      <c r="F56" s="115" t="s">
        <v>140</v>
      </c>
      <c r="G56" s="115" t="s">
        <v>352</v>
      </c>
      <c r="H56" s="116"/>
    </row>
    <row r="57" spans="6:9">
      <c r="F57" s="130" t="s">
        <v>141</v>
      </c>
      <c r="G57" s="216" t="e">
        <f>Ergebnis!G57/Ergebnis!$G$18*1000</f>
        <v>#DIV/0!</v>
      </c>
      <c r="H57" s="116"/>
    </row>
    <row r="58" spans="6:9">
      <c r="F58" s="130" t="s">
        <v>142</v>
      </c>
      <c r="G58" s="216" t="e">
        <f>Ergebnis!G58/Ergebnis!$G$18*1000</f>
        <v>#DIV/0!</v>
      </c>
      <c r="H58" s="116"/>
      <c r="I58" s="80" t="s">
        <v>192</v>
      </c>
    </row>
    <row r="59" spans="6:9">
      <c r="F59" s="130" t="s">
        <v>143</v>
      </c>
      <c r="G59" s="216" t="e">
        <f>Ergebnis!G59/Ergebnis!$G$18*1000</f>
        <v>#DIV/0!</v>
      </c>
      <c r="H59" s="116"/>
    </row>
    <row r="60" spans="6:9">
      <c r="F60" s="130" t="s">
        <v>144</v>
      </c>
      <c r="G60" s="216" t="e">
        <f>Ergebnis!G60/Ergebnis!$G$18*1000</f>
        <v>#DIV/0!</v>
      </c>
      <c r="H60" s="116"/>
    </row>
    <row r="61" spans="6:9">
      <c r="F61" s="130" t="s">
        <v>145</v>
      </c>
      <c r="G61" s="217" t="e">
        <f>Ergebnis!G61/Ergebnis!$G$18*1000</f>
        <v>#DIV/0!</v>
      </c>
      <c r="H61" s="116"/>
      <c r="I61" s="80" t="s">
        <v>193</v>
      </c>
    </row>
    <row r="62" spans="6:9">
      <c r="F62" s="130" t="s">
        <v>322</v>
      </c>
      <c r="G62" s="216" t="e">
        <f>Ergebnis!G62/Ergebnis!$G$18*1000</f>
        <v>#DIV/0!</v>
      </c>
      <c r="H62" s="116"/>
    </row>
    <row r="63" spans="6:9">
      <c r="F63" s="130" t="s">
        <v>321</v>
      </c>
      <c r="G63" s="216" t="e">
        <f>Ergebnis!G63/Ergebnis!$G$18*1000</f>
        <v>#DIV/0!</v>
      </c>
      <c r="H63" s="116"/>
    </row>
    <row r="64" spans="6:9">
      <c r="F64" s="116"/>
      <c r="G64" s="116"/>
      <c r="H64" s="116"/>
    </row>
    <row r="65" spans="6:10" ht="13.9">
      <c r="F65" s="115" t="s">
        <v>163</v>
      </c>
      <c r="G65" s="115" t="s">
        <v>165</v>
      </c>
      <c r="H65" s="116"/>
      <c r="J65" s="108"/>
    </row>
    <row r="66" spans="6:10">
      <c r="F66" s="130" t="s">
        <v>164</v>
      </c>
      <c r="G66" s="123">
        <f>Eingabe!C60</f>
        <v>0</v>
      </c>
      <c r="H66" s="116" t="str">
        <f>IF(Eingabe!E60=1,'Ergebnis pro Tonne'!I58,I61)</f>
        <v>intern</v>
      </c>
    </row>
    <row r="67" spans="6:10">
      <c r="F67" s="130" t="s">
        <v>194</v>
      </c>
      <c r="G67" s="123">
        <f>Eingabe!C61</f>
        <v>0</v>
      </c>
      <c r="H67" s="116"/>
    </row>
    <row r="68" spans="6:10">
      <c r="F68" s="131" t="s">
        <v>166</v>
      </c>
      <c r="G68" s="123">
        <f>Eingabe!C62</f>
        <v>0</v>
      </c>
      <c r="H68" s="116"/>
    </row>
    <row r="69" spans="6:10" ht="13.9" thickBot="1">
      <c r="F69" s="131" t="s">
        <v>167</v>
      </c>
      <c r="G69" s="123">
        <f>Eingabe!C63</f>
        <v>0</v>
      </c>
      <c r="H69" s="116"/>
    </row>
    <row r="70" spans="6:10" ht="13.9">
      <c r="F70" s="132" t="s">
        <v>7</v>
      </c>
      <c r="G70" s="133">
        <f>SUM(G66:G69)</f>
        <v>0</v>
      </c>
      <c r="H70" s="116"/>
    </row>
    <row r="71" spans="6:10" ht="13.9">
      <c r="F71" s="134"/>
      <c r="G71" s="134"/>
      <c r="H71" s="116"/>
    </row>
    <row r="72" spans="6:10" ht="13.9">
      <c r="F72" s="135" t="s">
        <v>170</v>
      </c>
      <c r="G72" s="115" t="s">
        <v>352</v>
      </c>
      <c r="H72" s="130"/>
    </row>
    <row r="73" spans="6:10">
      <c r="F73" s="130" t="s">
        <v>168</v>
      </c>
      <c r="G73" s="158" t="e">
        <f>Ergebnis!G73/Ergebnis!$G$18*1000</f>
        <v>#DIV/0!</v>
      </c>
      <c r="H73" s="116"/>
    </row>
  </sheetData>
  <sheetProtection password="862F" sheet="1" objects="1" scenarios="1"/>
  <mergeCells count="4">
    <mergeCell ref="F1:F2"/>
    <mergeCell ref="G1:G2"/>
    <mergeCell ref="F5:F6"/>
    <mergeCell ref="G5:H6"/>
  </mergeCells>
  <conditionalFormatting sqref="G5">
    <cfRule type="cellIs" dxfId="11" priority="5" operator="equal">
      <formula>1</formula>
    </cfRule>
    <cfRule type="cellIs" dxfId="10" priority="6" operator="between">
      <formula>1</formula>
      <formula>1.05</formula>
    </cfRule>
    <cfRule type="cellIs" dxfId="9" priority="7" operator="between">
      <formula>1.01</formula>
      <formula>1.05</formula>
    </cfRule>
    <cfRule type="cellIs" dxfId="8" priority="8" operator="between">
      <formula>1.01</formula>
      <formula>1.05</formula>
    </cfRule>
    <cfRule type="cellIs" dxfId="7" priority="9" operator="lessThan">
      <formula>1.01</formula>
    </cfRule>
    <cfRule type="cellIs" dxfId="6" priority="10" operator="between">
      <formula>1</formula>
      <formula>1.05</formula>
    </cfRule>
    <cfRule type="cellIs" dxfId="5" priority="11" operator="lessThan">
      <formula>1</formula>
    </cfRule>
    <cfRule type="cellIs" dxfId="4" priority="12" operator="greaterThan">
      <formula>1.05</formula>
    </cfRule>
  </conditionalFormatting>
  <conditionalFormatting sqref="G9">
    <cfRule type="cellIs" dxfId="3" priority="2" operator="lessThan">
      <formula>$H$9</formula>
    </cfRule>
    <cfRule type="cellIs" dxfId="2" priority="3" operator="equal">
      <formula>$H$9</formula>
    </cfRule>
    <cfRule type="cellIs" dxfId="1" priority="4" operator="greaterThan">
      <formula>$H$9</formula>
    </cfRule>
    <cfRule type="cellIs" dxfId="0" priority="1" operator="greaterThan">
      <formula>1</formula>
    </cfRule>
  </conditionalFormatting>
  <pageMargins left="0.7" right="0.7" top="0.78740157499999996" bottom="0.78740157499999996" header="0.3" footer="0.3"/>
  <pageSetup paperSize="9" orientation="portrait"/>
  <ignoredErrors>
    <ignoredError sqref="G25:G41 G73 G55:G63 G44:G52" unlockedFormula="1"/>
  </ignoredErrors>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4</vt:i4>
      </vt:variant>
    </vt:vector>
  </HeadingPairs>
  <TitlesOfParts>
    <vt:vector size="11" baseType="lpstr">
      <vt:lpstr>Info</vt:lpstr>
      <vt:lpstr>Eingabe</vt:lpstr>
      <vt:lpstr>Ergebnis</vt:lpstr>
      <vt:lpstr>Umweltdeklaration</vt:lpstr>
      <vt:lpstr>LCIA</vt:lpstr>
      <vt:lpstr>Prüfwert</vt:lpstr>
      <vt:lpstr>Ergebnis pro Tonne</vt:lpstr>
      <vt:lpstr>Anlagentyp</vt:lpstr>
      <vt:lpstr>Eingabe!Druckbereich</vt:lpstr>
      <vt:lpstr>name</vt:lpstr>
      <vt:lpstr>relFeuchte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KWM naturemade resources star</dc:title>
  <dc:creator>Livia Ramseier</dc:creator>
  <cp:keywords>KWM naturemade resources star</cp:keywords>
  <cp:lastModifiedBy>Valentin Graf</cp:lastModifiedBy>
  <cp:lastPrinted>2010-07-21T14:11:24Z</cp:lastPrinted>
  <dcterms:created xsi:type="dcterms:W3CDTF">2008-10-03T05:39:11Z</dcterms:created>
  <dcterms:modified xsi:type="dcterms:W3CDTF">2020-03-26T16:21:55Z</dcterms:modified>
</cp:coreProperties>
</file>